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05" windowWidth="15180" windowHeight="8835" tabRatio="792" activeTab="0"/>
  </bookViews>
  <sheets>
    <sheet name="Infos_zum_Rechner" sheetId="1" r:id="rId1"/>
    <sheet name="InfosKUP" sheetId="2" r:id="rId2"/>
    <sheet name="Eingabe_u_Ergebnisübersicht" sheetId="3" r:id="rId3"/>
    <sheet name="Berechnungen" sheetId="4" r:id="rId4"/>
    <sheet name="Grafiken" sheetId="5" r:id="rId5"/>
    <sheet name="Infos_Dateneingabe" sheetId="6" r:id="rId6"/>
    <sheet name="Tabelle7" sheetId="7" r:id="rId7"/>
  </sheets>
  <definedNames>
    <definedName name="_xlnm.Print_Area" localSheetId="3">'Berechnungen'!$A$1:$AX$34</definedName>
    <definedName name="_xlnm.Print_Area" localSheetId="2">'Eingabe_u_Ergebnisübersicht'!$B$2:$Q$35</definedName>
    <definedName name="_xlnm.Print_Area" localSheetId="4">'Grafiken'!$A$2:$H$42</definedName>
    <definedName name="_xlnm.Print_Area" localSheetId="5">'Infos_Dateneingabe'!$B$2:$K$283</definedName>
    <definedName name="_xlnm.Print_Area" localSheetId="0">'Infos_zum_Rechner'!$A$1:$K$52</definedName>
    <definedName name="_xlnm.Print_Area" localSheetId="1">'InfosKUP'!$B$3:$I$188</definedName>
  </definedNames>
  <calcPr fullCalcOnLoad="1"/>
</workbook>
</file>

<file path=xl/comments3.xml><?xml version="1.0" encoding="utf-8"?>
<comments xmlns="http://schemas.openxmlformats.org/spreadsheetml/2006/main">
  <authors>
    <author>KriegK</author>
  </authors>
  <commentList>
    <comment ref="K17" authorId="0">
      <text>
        <r>
          <rPr>
            <sz val="8"/>
            <rFont val="Tahoma"/>
            <family val="0"/>
          </rPr>
          <t>das Programm berücksichtigt automatisch, daß diese Kosten bei der letzten Ernte nicht mehr anfallen</t>
        </r>
      </text>
    </comment>
    <comment ref="P4" authorId="0">
      <text>
        <r>
          <rPr>
            <sz val="8"/>
            <rFont val="Tahoma"/>
            <family val="0"/>
          </rPr>
          <t>in die blau umrandeten
Eingabefelder kann man die geschätzte durchschnittliche jährliche Inflationsrate eingeben</t>
        </r>
      </text>
    </comment>
    <comment ref="K8" authorId="0">
      <text>
        <r>
          <rPr>
            <b/>
            <sz val="8"/>
            <rFont val="Tahoma"/>
            <family val="0"/>
          </rPr>
          <t>Wassergehalt</t>
        </r>
        <r>
          <rPr>
            <sz val="8"/>
            <rFont val="Tahoma"/>
            <family val="0"/>
          </rPr>
          <t xml:space="preserve">
</t>
        </r>
      </text>
    </comment>
  </commentList>
</comments>
</file>

<file path=xl/comments4.xml><?xml version="1.0" encoding="utf-8"?>
<comments xmlns="http://schemas.openxmlformats.org/spreadsheetml/2006/main">
  <authors>
    <author>KriegK</author>
  </authors>
  <commentList>
    <comment ref="R30" authorId="0">
      <text>
        <r>
          <rPr>
            <b/>
            <sz val="8"/>
            <rFont val="Tahoma"/>
            <family val="2"/>
          </rPr>
          <t xml:space="preserve"> = MittelwertSpalte Q</t>
        </r>
        <r>
          <rPr>
            <sz val="8"/>
            <rFont val="Tahoma"/>
            <family val="0"/>
          </rPr>
          <t xml:space="preserve">
</t>
        </r>
      </text>
    </comment>
  </commentList>
</comments>
</file>

<file path=xl/comments6.xml><?xml version="1.0" encoding="utf-8"?>
<comments xmlns="http://schemas.openxmlformats.org/spreadsheetml/2006/main">
  <authors>
    <author>KriegK</author>
  </authors>
  <commentList>
    <comment ref="G59" authorId="0">
      <text>
        <r>
          <rPr>
            <b/>
            <sz val="8"/>
            <rFont val="Tahoma"/>
            <family val="0"/>
          </rPr>
          <t xml:space="preserve">Erntefläche eingeben !
</t>
        </r>
        <r>
          <rPr>
            <sz val="8"/>
            <rFont val="Tahoma"/>
            <family val="0"/>
          </rPr>
          <t xml:space="preserve">
</t>
        </r>
      </text>
    </comment>
    <comment ref="T115" authorId="0">
      <text>
        <r>
          <rPr>
            <b/>
            <sz val="8"/>
            <rFont val="Tahoma"/>
            <family val="0"/>
          </rPr>
          <t>KriegK:</t>
        </r>
        <r>
          <rPr>
            <sz val="8"/>
            <rFont val="Tahoma"/>
            <family val="0"/>
          </rPr>
          <t xml:space="preserve">
Energie für Wassergehalt
</t>
        </r>
      </text>
    </comment>
  </commentList>
</comments>
</file>

<file path=xl/sharedStrings.xml><?xml version="1.0" encoding="utf-8"?>
<sst xmlns="http://schemas.openxmlformats.org/spreadsheetml/2006/main" count="499" uniqueCount="403">
  <si>
    <t>Jahr</t>
  </si>
  <si>
    <t xml:space="preserve">Kosten in €/ha </t>
  </si>
  <si>
    <t>Erlöse in €/ha</t>
  </si>
  <si>
    <t>Barwert der Kosten in €/ha</t>
  </si>
  <si>
    <t>Barwert der Erlöse in €/ha</t>
  </si>
  <si>
    <t>Summe</t>
  </si>
  <si>
    <t>Kathrin Steinfatt</t>
  </si>
  <si>
    <t>Cisco Aust</t>
  </si>
  <si>
    <t>Forstliche Versuchs- und Forschungsanstalt -</t>
  </si>
  <si>
    <t>Außenstelle Forchheim</t>
  </si>
  <si>
    <t>Baden-Württemberg (FVA)</t>
  </si>
  <si>
    <t>Kutschenweg 20</t>
  </si>
  <si>
    <t>Wonnhaldestr. 4</t>
  </si>
  <si>
    <t>76287 Rheinstetten</t>
  </si>
  <si>
    <t>79100  Freiburg</t>
  </si>
  <si>
    <t>Tel.: 0721/9518-220</t>
  </si>
  <si>
    <t>Tel.: 0761/4018-205</t>
  </si>
  <si>
    <t>Fax: 0721/9518-202</t>
  </si>
  <si>
    <t>Fax: 0761/4018-333</t>
  </si>
  <si>
    <t>Mail: kathrin.steinfatt@ltz.bwl.de</t>
  </si>
  <si>
    <t>Mail: Cisco.Aust@Forst.bwl.de</t>
  </si>
  <si>
    <t>Nützliche Links</t>
  </si>
  <si>
    <t>www.LTZ-Augustenberg.de</t>
  </si>
  <si>
    <t>www.mlr.baden-wuerttemberg.de/mlr/bro/Kurzumtriebsflaechen.pdf</t>
  </si>
  <si>
    <t>Internet:</t>
  </si>
  <si>
    <t>www.fva-bw.de</t>
  </si>
  <si>
    <t>Für Informationen zu den Kosten und zur Anlage und Bewirtschaftung von Kurzumtriebsflächen stehen Ihnen die Broschüre "Anlage und Bewirtschaftung von Kurzumtriebsflächen in Baden-Württemberg" und Ansprechpartner an der Forstlichen Versuchsanstalt Freiburg (FVA) und am Landwirtschaftlichen Technologiezentrum Augustenberg (LTZ) zur Verfügung:</t>
  </si>
  <si>
    <t>http://landwirtschaft.bwl.de/servlet/PB/menu/1232384/index.html</t>
  </si>
  <si>
    <t>C.A.R.M.E.N: (Centrales Agrar-Rohstoff-Marketing- und Entwicklungsnetz e.V.)</t>
  </si>
  <si>
    <t>www.carmen-ev.de</t>
  </si>
  <si>
    <t>Projekt AGROWOOD</t>
  </si>
  <si>
    <t>www.agrowood.de</t>
  </si>
  <si>
    <t>Fachagentur für Nachwachsende Rohstoffe (FNR)</t>
  </si>
  <si>
    <t>www.nachwachsenderohstoffe.de</t>
  </si>
  <si>
    <t>KUP - Netzwerk des ttz Bremerhaven:</t>
  </si>
  <si>
    <t>www.kup-netzwerk.info/de/start.html</t>
  </si>
  <si>
    <t>www.hero-hessen.de</t>
  </si>
  <si>
    <t>HERO: Kompetenzzentrum HessenRohstoffe e.V.</t>
  </si>
  <si>
    <t>www.schnellwachsendebaumarten.de</t>
  </si>
  <si>
    <t>Forschungsinstitut für schnellwachsende Baumarten:</t>
  </si>
  <si>
    <t>www.landwirtschaft.sachsen.de/landwirtschaft/7099.htm</t>
  </si>
  <si>
    <t>SMUL: Sächsisches Ministerum für Umwelt und Landwirtschaft</t>
  </si>
  <si>
    <t>www.thueringen.de/de/tll/pflanzenproduktion/bioenergie/</t>
  </si>
  <si>
    <t>TLL:Thüringer Landesanstalt für Landwirtschaft</t>
  </si>
  <si>
    <t>Die Beurteilung der Wirtschaftlichkeit von Kurzumtriebsflächen</t>
  </si>
  <si>
    <t>Info (2)</t>
  </si>
  <si>
    <t>Standzeit</t>
  </si>
  <si>
    <t>Jahre</t>
  </si>
  <si>
    <t>Anzahl</t>
  </si>
  <si>
    <t>%</t>
  </si>
  <si>
    <t>mechanische Bodenvorbereitung</t>
  </si>
  <si>
    <t>€/ha</t>
  </si>
  <si>
    <t>Pflanzenschutz zur Bodenvorbereitung</t>
  </si>
  <si>
    <t>Pflanzgutkosten</t>
  </si>
  <si>
    <t>Kosten der Pflanzung</t>
  </si>
  <si>
    <t>Pflegekosten nach der Pflanzung</t>
  </si>
  <si>
    <t>Erntekosten</t>
  </si>
  <si>
    <t>€</t>
  </si>
  <si>
    <t>Rekultivierungskosten</t>
  </si>
  <si>
    <t>Gemeinkosten</t>
  </si>
  <si>
    <t>Kosten</t>
  </si>
  <si>
    <t>Pacht</t>
  </si>
  <si>
    <t>Wagniskosten</t>
  </si>
  <si>
    <t xml:space="preserve">Inhalt </t>
  </si>
  <si>
    <t>Flächengrösse</t>
  </si>
  <si>
    <t>Zeitraum von der Planzung bis zur ersten Ernte oder zwischen zwei Ernten. Bei der energetischen Nutzung sind die Umtriebszeiten kürzer (~3-5 Jahre), bei der stofflichen Nutzung sind sie länger (10-20 Jahre). Der Gesetzgeber schreibt vor, dass ein Umtrieb maximal 20 Jahre betragen darf.</t>
  </si>
  <si>
    <t>Zinssatz</t>
  </si>
  <si>
    <t>Bodenvorbereitung</t>
  </si>
  <si>
    <t xml:space="preserve">Die Bodenvorbereitungkosten setzen sich i.d.R. aus Pflügen und Eggen zusammen:                      </t>
  </si>
  <si>
    <t>A) Pflügen mit Drehpflug einschließlich Schlepper und Fahrer: von 65€/ha (Eigenmechanisierung) bis 120€/ha (Lohnunternehmer),</t>
  </si>
  <si>
    <t>Pflanzenschutz (Anlage)</t>
  </si>
  <si>
    <t xml:space="preserve">Vor der Pflanzung wird i.d.R. eine Herbizidbehandlung im Vorauflauf durchgeführt. </t>
  </si>
  <si>
    <t>Behandlung mit Feldspritze einschließlich Schlepper und Fahrer: von 10€/ha (Eigenmechanisierung) bis 25€/ha (Lohnunternehmer) plus Spritzmittelkosten (Quelle: 1).</t>
  </si>
  <si>
    <t>Stückkosten Weidenstecklinge: 0,07-0,12 €/Stück</t>
  </si>
  <si>
    <t>Pflegekosten nach Pflanzung</t>
  </si>
  <si>
    <t>Mulchen, Mähen, Hacken: pro Arbeitsgang zwischen 20-50 €/ha (Arbeits- und Maschinenkosten)</t>
  </si>
  <si>
    <t>Herbizidbehandlung: 40-80€/ha (Arbeits-, Maschinen- und Mittelkosten)</t>
  </si>
  <si>
    <t>AFP-Zuschuß</t>
  </si>
  <si>
    <t>Nachpflanzung (manuell): 0,08 €/Steckling</t>
  </si>
  <si>
    <t>Mulchen oder Mähen: pro Arbeitsgang zwischen 20-50 €/ha (Arbeits- und Maschinenkosten)</t>
  </si>
  <si>
    <t>Bodenprobenentnahme und -analyse auf Nährstoffe: 50-90 €</t>
  </si>
  <si>
    <t>Düngung: 60-130 €/ha (Arbeits-, Maschinen- und Düngemittelkosten)</t>
  </si>
  <si>
    <t>Lagerkosten</t>
  </si>
  <si>
    <t>Lagerung im Freien auf trockner Unterlage: 4-5 €/ t TM</t>
  </si>
  <si>
    <t>Vliesabdeckung: 4-5€/ t TM</t>
  </si>
  <si>
    <t>Fräsen und Mulchen:  900 - 1.200 Euro/ha</t>
  </si>
  <si>
    <t>Risikozuschlag für nicht abgesicherte Risiken oder Kosten, z.B. Ausfall einer Sorte durch einen Resistenzdurchbruch oder Wildschäden, z.B. 20-40€/ha und Jahr.</t>
  </si>
  <si>
    <t>Verpackung und Versandkosten für Stecklinge, z.B. 200 €/ha für den Versand von 10.000 Weidenstecklingen.</t>
  </si>
  <si>
    <r>
      <t xml:space="preserve">Für Informationen zu den Erträgen siehe "Anlage und Bewirtschaftung von Kurzumtriebsflächen in Baden-Württemberg" </t>
    </r>
    <r>
      <rPr>
        <sz val="10"/>
        <color indexed="12"/>
        <rFont val="Arial"/>
        <family val="2"/>
      </rPr>
      <t>(Link)</t>
    </r>
    <r>
      <rPr>
        <sz val="10"/>
        <color indexed="8"/>
        <rFont val="Arial"/>
        <family val="2"/>
      </rPr>
      <t>.</t>
    </r>
    <r>
      <rPr>
        <sz val="10"/>
        <color indexed="12"/>
        <rFont val="Arial"/>
        <family val="2"/>
      </rPr>
      <t xml:space="preserve"> </t>
    </r>
  </si>
  <si>
    <r>
      <t xml:space="preserve">Für Informationen zu den üblichen Pflanzdichten siehe </t>
    </r>
    <r>
      <rPr>
        <i/>
        <sz val="10"/>
        <color indexed="17"/>
        <rFont val="Arial"/>
        <family val="2"/>
      </rPr>
      <t>Infos zu Kurzumtrieb</t>
    </r>
    <r>
      <rPr>
        <sz val="10"/>
        <color indexed="17"/>
        <rFont val="Arial"/>
        <family val="2"/>
      </rPr>
      <t>: "Anlage und Bewirtschaftung von Kurzumtriebsflächen in Baden-Württemberg"</t>
    </r>
  </si>
  <si>
    <t>Umtriebe,Anzahl Ernten</t>
  </si>
  <si>
    <t xml:space="preserve">Landwirtschaftliches Technologiezentrum Augustenberg </t>
  </si>
  <si>
    <t>START</t>
  </si>
  <si>
    <t>Pflegekosten nach Ernte</t>
  </si>
  <si>
    <t>Transportkosten</t>
  </si>
  <si>
    <t xml:space="preserve">Sonstige Kosten </t>
  </si>
  <si>
    <t xml:space="preserve">Lagerkosten </t>
  </si>
  <si>
    <t xml:space="preserve">AFP-Zuschuss </t>
  </si>
  <si>
    <t>Erlös Hackschnitzel</t>
  </si>
  <si>
    <t>Faktor
Ertragsverlauf</t>
  </si>
  <si>
    <t>Summe Zuwachs</t>
  </si>
  <si>
    <t>Ernte
summe</t>
  </si>
  <si>
    <t>Erlös</t>
  </si>
  <si>
    <t>RE-KULT:</t>
  </si>
  <si>
    <t>SUMME Anlagekosten</t>
  </si>
  <si>
    <t>Erlöse</t>
  </si>
  <si>
    <t>Saldo</t>
  </si>
  <si>
    <t>ERGEBNIS</t>
  </si>
  <si>
    <t>Stand:</t>
  </si>
  <si>
    <t>Summe Umtriebskosten je ha</t>
  </si>
  <si>
    <t>Inflationsrate</t>
  </si>
  <si>
    <t>Info (3)</t>
  </si>
  <si>
    <t>Info (6)</t>
  </si>
  <si>
    <t>Info (7)</t>
  </si>
  <si>
    <t>Info (8)</t>
  </si>
  <si>
    <t>Info (9)</t>
  </si>
  <si>
    <t>Info (10)</t>
  </si>
  <si>
    <t>Info (11)</t>
  </si>
  <si>
    <t>Info (12)</t>
  </si>
  <si>
    <t>Info (4)</t>
  </si>
  <si>
    <t>Info (5)</t>
  </si>
  <si>
    <t>Info (14)</t>
  </si>
  <si>
    <t>Info (17)</t>
  </si>
  <si>
    <t>Info (19)</t>
  </si>
  <si>
    <t>Info (15)</t>
  </si>
  <si>
    <t>Info (16)</t>
  </si>
  <si>
    <t>Info (23)</t>
  </si>
  <si>
    <t>Info (22)</t>
  </si>
  <si>
    <t>Info (21)</t>
  </si>
  <si>
    <t>Ertragsverlaufsfaktoren  ggf. anpassen</t>
  </si>
  <si>
    <t>(Spalten z.T. ausgeblendet)</t>
  </si>
  <si>
    <t>Zeit zwischen 2 Ernten (Umtriebszeit)</t>
  </si>
  <si>
    <t>z.B. Nachstecken per Hand (Summe der Akh), Zaunkosten</t>
  </si>
  <si>
    <t>Sonstige (Pflanz-)kosten</t>
  </si>
  <si>
    <t>€/to TM</t>
  </si>
  <si>
    <t>Info (1)</t>
  </si>
  <si>
    <t>= Pflanzenzahl x Pflanzenpreis, z.B. 10.000 Weidenstecklinge x 0,09€ = 900€/ha</t>
  </si>
  <si>
    <t xml:space="preserve">Die Förderung beträgt z.Zt. bis zu 25% der Anlagekosten bei einer Mindestinvestitionssumme von 20.000 €. </t>
  </si>
  <si>
    <t>http://landwirtschaft.bwl.de/servlet/PB/menu/1035162_l1/index1215773518694.html?showOnlyChilds=true&amp;showChildsFor=1035162</t>
  </si>
  <si>
    <t>http://www.carmen-ev.de</t>
  </si>
  <si>
    <t>x</t>
  </si>
  <si>
    <t>Ø-Ertragszuwachs</t>
  </si>
  <si>
    <t xml:space="preserve">Der erzielte "interne Zinsfuß" sollte bei 100 % iger Fremdfinanzierung aller Ausgaben </t>
  </si>
  <si>
    <t>Pappel</t>
  </si>
  <si>
    <t>im Ergebnis sofort ablesbar</t>
  </si>
  <si>
    <t>Info</t>
  </si>
  <si>
    <t>Verfahren: 1 ha Kurzumtriebsplantage</t>
  </si>
  <si>
    <t>Inflation</t>
  </si>
  <si>
    <t>Umtriebszeit, Umtriebe</t>
  </si>
  <si>
    <t>Erntefläche</t>
  </si>
  <si>
    <t xml:space="preserve">  ===&gt;&gt;&gt;</t>
  </si>
  <si>
    <t>Anfahrtpauschale</t>
  </si>
  <si>
    <t>nach vorne übertragen !</t>
  </si>
  <si>
    <t>Sonstiges</t>
  </si>
  <si>
    <t>bei</t>
  </si>
  <si>
    <t>SUMME</t>
  </si>
  <si>
    <t>jeweils ein Teil des Kapitals sowie die anteilige Verzinsung zurück.</t>
  </si>
  <si>
    <t>Wie wird die Anwendung gehandhabt ?</t>
  </si>
  <si>
    <t xml:space="preserve">Durch Click auf die Info-Felder gelangen sie zu weiteren Informationen; </t>
  </si>
  <si>
    <t>Info (..)</t>
  </si>
  <si>
    <t>Programmierhilfen</t>
  </si>
  <si>
    <t>Warnmeldung:</t>
  </si>
  <si>
    <t>Ø  pro Jahr</t>
  </si>
  <si>
    <t xml:space="preserve">Sonstige Kosten können z.B. für den Transport der Erntemaschine anfallen. </t>
  </si>
  <si>
    <t>Umtriebszeit</t>
  </si>
  <si>
    <t>eingegebene Erntekosten</t>
  </si>
  <si>
    <t>Schwelle Erntekosten</t>
  </si>
  <si>
    <t>In diesem Fall ist eine teurere Erntetechnik (z.B. Fäller-Bündler-Verfahren oder teilmanuelle Ernte) erforderlich.</t>
  </si>
  <si>
    <t>!! Bei Umtriebszeiten ab 4 Jahren können je nach Standort u. Baumart bereits Stammdurchmesser von 15 cm erreicht werden.</t>
  </si>
  <si>
    <t>Pachtansatz</t>
  </si>
  <si>
    <t>Für Eigentumsflächen bitte einen ortsüblichen / angemessenen Pachtansatz eingeben.</t>
  </si>
  <si>
    <t>Wassergehalte</t>
  </si>
  <si>
    <t>Transportentfernung</t>
  </si>
  <si>
    <t>km</t>
  </si>
  <si>
    <t>Anhaltswerte - Wassergehalt</t>
  </si>
  <si>
    <t>Die Eingabe erfolgt ausschließlich in den hellgelben Eingabefeldern</t>
  </si>
  <si>
    <t>Die übrigen Zellen sind geschützt, um unbeabsichtigtes Löschen von Formeln zu verhindern.</t>
  </si>
  <si>
    <t>z.B. Hinweise auf mögliche Wertebereiche u.ä.</t>
  </si>
  <si>
    <t>Kapitalwert</t>
  </si>
  <si>
    <t>Barwert</t>
  </si>
  <si>
    <t>Annuität(Rente)</t>
  </si>
  <si>
    <t>Amortisationsdauer</t>
  </si>
  <si>
    <t>Amortisation</t>
  </si>
  <si>
    <t>Hilfsspalten</t>
  </si>
  <si>
    <t>Hallentrocknung / Belüftungskosten ?</t>
  </si>
  <si>
    <t>(Berücksichtigung von Zinsen)</t>
  </si>
  <si>
    <t>Es gelten folgende Grundsätze:</t>
  </si>
  <si>
    <t>Diese ist eine Variante der o.g. Kapitalwertmethode. Der ermittelte Kapitalwert einer Investition wird dabei</t>
  </si>
  <si>
    <t>Durch Abzinsung - sowohl der Einzahlungen als auch der Auszahlungen -auf den Beginn der Investition werden alle Zahlungen, die zu einem beliebigen Zeitpunkt anfallen, vergleichbar gemacht.</t>
  </si>
  <si>
    <t>Bei der Amortisationsrechnung wird die Zeit berechnet, nach der sich die Investition amortisiert ("gelohnt") hat.</t>
  </si>
  <si>
    <t xml:space="preserve"> Saldo Erlöse abzgl. Kosten</t>
  </si>
  <si>
    <t>Barwerte</t>
  </si>
  <si>
    <t xml:space="preserve">gesamte Standzeit </t>
  </si>
  <si>
    <t xml:space="preserve">pro Jahr </t>
  </si>
  <si>
    <t>GAP-Prämie bis 2013</t>
  </si>
  <si>
    <t>GAP-Prämie bis 2020</t>
  </si>
  <si>
    <t>GAP-Prämie bis 2027</t>
  </si>
  <si>
    <t>GAP-Prämie bis 2033</t>
  </si>
  <si>
    <t>Annuität</t>
  </si>
  <si>
    <t xml:space="preserve">Zinssatz </t>
  </si>
  <si>
    <t xml:space="preserve"> Kapitalwert</t>
  </si>
  <si>
    <t>Diskontierte Barwerte (einschl. Barwert der Rekultivierung)</t>
  </si>
  <si>
    <t>SOLL-Barwert der Hackschnitzelerlöse bei Vollkostendeckung</t>
  </si>
  <si>
    <t>Saldo Erlöse abzgl. Kosten</t>
  </si>
  <si>
    <t>Saldo der Barwerte in €/ha</t>
  </si>
  <si>
    <t>Erlöse abzgl. Kosten</t>
  </si>
  <si>
    <t>Barwert Erlöse abzgl. Barwert Kosten</t>
  </si>
  <si>
    <t>aufsummierter Barwert</t>
  </si>
  <si>
    <t>Info (13)</t>
  </si>
  <si>
    <t>Info (18)</t>
  </si>
  <si>
    <t>Info (20)</t>
  </si>
  <si>
    <t>Ertragszuwachs</t>
  </si>
  <si>
    <t>Ertragsverlauf:</t>
  </si>
  <si>
    <t>Aktuelle und umfassende Informationenen zur Preisentwicklung für Waldhackschnitzel finden Sie hier: http://www.carmen-ev.de unter "Aktuelles" und dann "Preisindizes"</t>
  </si>
  <si>
    <t>Wassergehalt</t>
  </si>
  <si>
    <t>kg / m3</t>
  </si>
  <si>
    <t>Info (24)</t>
  </si>
  <si>
    <r>
      <t xml:space="preserve">Pflegekosten nach Ernte 
</t>
    </r>
    <r>
      <rPr>
        <b/>
        <sz val="10"/>
        <color indexed="10"/>
        <rFont val="Arial"/>
        <family val="2"/>
      </rPr>
      <t>das Programm berücksichtigt automatisch, daß diese Kosten nach der letzten Ernte nicht mehr anfallen</t>
    </r>
  </si>
  <si>
    <t>Betriebsindividuelle Eingaben können auch insbesondere in den ersten Jahren sinnvoll sein, wenn sog. TOP UP's realisiert werden..</t>
  </si>
  <si>
    <t>Für die Prämienzahlungen ab 2013 ist eine Abschätzung der weiteren agrarpolitischen Entwicklung erforderlich.</t>
  </si>
  <si>
    <r>
      <t>GAP-Prämie:</t>
    </r>
    <r>
      <rPr>
        <sz val="10"/>
        <rFont val="Arial"/>
        <family val="2"/>
      </rPr>
      <t xml:space="preserve"> die eingegebenen Werte werden nach 2013 jeweils für eine 7-Jahresförderperiode berücksichtigt. </t>
    </r>
  </si>
  <si>
    <t>Sonstige Kosten</t>
  </si>
  <si>
    <t>Bsp.:</t>
  </si>
  <si>
    <t>Ertrag - feuchte Ware</t>
  </si>
  <si>
    <t>Die Gemeinkosten (z.B. Betriebsversicherungen, Berufsgenossenschaft, Buchführungskosten, Beratungsgebühren, Grundsteuer, etc) betragen i.d.R. zwischen 50-150€/ha.</t>
  </si>
  <si>
    <t>Wasser</t>
  </si>
  <si>
    <t>TM</t>
  </si>
  <si>
    <t>Heizwert in kwh/kg</t>
  </si>
  <si>
    <t>kwh</t>
  </si>
  <si>
    <t>kg</t>
  </si>
  <si>
    <t>Spez. Gewicht</t>
  </si>
  <si>
    <t>preis je kwh</t>
  </si>
  <si>
    <t>preis je to 
BBZ 09/2010</t>
  </si>
  <si>
    <t>Standzeit, (Lebensdauer der Plantage)  =</t>
  </si>
  <si>
    <t>Sonstige Pflanz-Kosten bei Bedarf</t>
  </si>
  <si>
    <t>Rekultivierungs-
kosten</t>
  </si>
  <si>
    <t xml:space="preserve">Die Kosten für den Transport der Erntemaschine schwanken von über 4.000€ bis 0 €. Nur in Gebieten mit hoher KUP-Anbaudichte mit Erntemaschinen vor Ort sind die Anfahrtskosten sehr niedrig. </t>
  </si>
  <si>
    <t xml:space="preserve">eingesetzte Eigen- und Fremdkapital verzinst. Im Anschaffungsjahr schlagen die Herstellungskosten </t>
  </si>
  <si>
    <t xml:space="preserve">als Ausgabe zu Buche. In den Folgejahren fließen durch die Erlöse (abzüglich der Ausgaben) </t>
  </si>
  <si>
    <t>B) Eggen mit Kreiselegge einschließlich Schlepper und Fahrer: von 35€/ha (Eigenmechanisierung) bis 70€/ha (Lohnunternehmer)</t>
  </si>
  <si>
    <r>
      <t xml:space="preserve">Der Kapitalwert einer Investition ist definiert als die Summe der </t>
    </r>
    <r>
      <rPr>
        <b/>
        <sz val="10"/>
        <color indexed="8"/>
        <rFont val="Arial"/>
        <family val="2"/>
      </rPr>
      <t>Barwerte</t>
    </r>
    <r>
      <rPr>
        <sz val="10"/>
        <color indexed="8"/>
        <rFont val="Arial"/>
        <family val="2"/>
      </rPr>
      <t xml:space="preserve"> aller durch diese Investition verursachten Zahlungen. (Ein- und Auszahlungen = Erlöse und Kosten)</t>
    </r>
  </si>
  <si>
    <t>Es wird die Amortisationsdauer der Anlage errechnet.</t>
  </si>
  <si>
    <t>Es wird der kostendeckende Erlös ausgewiesen.</t>
  </si>
  <si>
    <t xml:space="preserve">Wenn im Registerblatt "Eingabe_u_Ergebnisübersicht" der Zinssatz auf Null gestellt wird, </t>
  </si>
  <si>
    <r>
      <t xml:space="preserve">Eine Investition ist </t>
    </r>
    <r>
      <rPr>
        <i/>
        <sz val="10"/>
        <color indexed="8"/>
        <rFont val="Arial"/>
        <family val="2"/>
      </rPr>
      <t>(absolut)</t>
    </r>
    <r>
      <rPr>
        <sz val="10"/>
        <color indexed="8"/>
        <rFont val="Arial"/>
        <family val="2"/>
      </rPr>
      <t xml:space="preserve"> vorteilhaft, wenn ihr Kapitalwert nicht negativ ist:</t>
    </r>
  </si>
  <si>
    <r>
      <t>Werden mehrere sich gegenseitig ausschließende Investitionsalternativen  verglichen, so ist die mit dem größten Kapitalwert die</t>
    </r>
    <r>
      <rPr>
        <i/>
        <sz val="10"/>
        <color indexed="8"/>
        <rFont val="Arial"/>
        <family val="2"/>
      </rPr>
      <t xml:space="preserve"> (relativ) </t>
    </r>
    <r>
      <rPr>
        <sz val="10"/>
        <color indexed="8"/>
        <rFont val="Arial"/>
        <family val="2"/>
      </rPr>
      <t>vorteilhafteste.</t>
    </r>
  </si>
  <si>
    <t xml:space="preserve">unter Verrechnung von Zinsen und Zinseszinsen gleichmäßig auf die gesamte Nutzungsdauer der Investition </t>
  </si>
  <si>
    <t>Kostendeckender Erlös Hackschnitzel</t>
  </si>
  <si>
    <t>Interner Zinsfuß</t>
  </si>
  <si>
    <t xml:space="preserve">Der interne Zinsfuß ist definitionsgemäß diejenige  Verzinsung, bei der abgezinste Aufwendungen </t>
  </si>
  <si>
    <t>(=Auszahlungsbarwerte) und abgezinste Erträge (=Einzahlungsbarwerte) aus einer Investition übereinstimmen.</t>
  </si>
  <si>
    <t xml:space="preserve">Projekt "Biomasse aus Kurzumtrieb". </t>
  </si>
  <si>
    <t xml:space="preserve">Gefördert durch das Ministerium für Ernährung und ländlichen Raum, Baden-Württemberg. </t>
  </si>
  <si>
    <t>www.duesse.de/znr/dokumentation/2009-06-18-kurzumtriebsplantagen.htm</t>
  </si>
  <si>
    <t>Landwirtschaftskammer NRW; Haus Düsse</t>
  </si>
  <si>
    <t xml:space="preserve">Pflanzjahr: </t>
  </si>
  <si>
    <t>Info (25)</t>
  </si>
  <si>
    <t>Info (26)</t>
  </si>
  <si>
    <t>Info (27)</t>
  </si>
  <si>
    <t>Info (28)</t>
  </si>
  <si>
    <t>Info (29)</t>
  </si>
  <si>
    <t>Programmierhilfe: eingebbare Pflanzjahre</t>
  </si>
  <si>
    <t>Aufsummierte Barwerte (einschl. Barwert der Rekultivierung)</t>
  </si>
  <si>
    <t>Die Berechnungen sind auf die Bezugsgröße 1 ha abgestimmt.</t>
  </si>
  <si>
    <t>Geplante bzw. voraussichtliche Nutzungsdauer der Anlage. Mit dem Programm können max. 21 Jahre berücksichtigt  werden.</t>
  </si>
  <si>
    <t>Anfahrtskosten der Pflanzmaschine, z.B. 300 €/Pflanzung</t>
  </si>
  <si>
    <t xml:space="preserve">Welche Zinsen erbringt eine alternative Geldanlage (Bankkonto, andere Investition)?  </t>
  </si>
  <si>
    <t>Welche Darlehenszinsen fallen bei der Anlage der KUP an ?</t>
  </si>
  <si>
    <t xml:space="preserve">Bei der Festsetzung des Zinssatzes können folgende Fragen helfen: </t>
  </si>
  <si>
    <t>Ertrag to TM
atro/ha</t>
  </si>
  <si>
    <t>GAP-Prämie</t>
  </si>
  <si>
    <t>Kalenderjahr</t>
  </si>
  <si>
    <r>
      <t>Transporkosten:</t>
    </r>
    <r>
      <rPr>
        <b/>
        <sz val="10"/>
        <color indexed="17"/>
        <rFont val="Arial"/>
        <family val="2"/>
      </rPr>
      <t xml:space="preserve"> Feld/Lager bzw. Lager/Abnehmer: </t>
    </r>
  </si>
  <si>
    <t>bis zu 5 km:</t>
  </si>
  <si>
    <t>0,50 - 1,40 €/ t TM und km</t>
  </si>
  <si>
    <t>0,20 - 0,50 €/ t TM und km</t>
  </si>
  <si>
    <t>1,50 - 3,00 €/ t TM und km</t>
  </si>
  <si>
    <t xml:space="preserve">5 - 20 km: </t>
  </si>
  <si>
    <t xml:space="preserve">20 - 80 km: </t>
  </si>
  <si>
    <t xml:space="preserve">Transportkosten  </t>
  </si>
  <si>
    <t>Pappel
 55-60 %</t>
  </si>
  <si>
    <t>Weide
 50-55%</t>
  </si>
  <si>
    <t>Robinie
 35-40 %</t>
  </si>
  <si>
    <t>Unter Berücksichtigung von Zinsen wird der Kapitalwert sowie die Annuität errechnet und ausgewiesen.</t>
  </si>
  <si>
    <t>Es wird die Rendite nach der Methode "interner Zinsfuß" errechnet.</t>
  </si>
  <si>
    <t>Beim Erlös und den Kosten kann im weiteren eine durchschnittliche jährliche Preissteigerungsrate eingegeben werden. Damit lässt sich simulieren, wie sich die Ergebnisse verändern, wenn man diverse Inflationsszenarien unterstellt.</t>
  </si>
  <si>
    <t>Sie geben im Registerblatt "Eingabe- und Ergebnisübersicht" Ihre spezifischen Werte ein bzw.</t>
  </si>
  <si>
    <t>überschreiben die vorgegebenen Werte.</t>
  </si>
  <si>
    <t>Gelegentlich findet sich dort auch die Möglichkeit von Nebenrechnungen.</t>
  </si>
  <si>
    <t>Der Saldo der Kosten und Erlöse pro Jahr sowie über die gesamte Standdauer der Anlage.</t>
  </si>
  <si>
    <t>Bei der Eingabe aller  Kostenpositionen sind Lohnkosten immer mit enthalten, d.h. es wird unterstellt, dass alle Arbeiten vom Lohnunternehmer erledigt werden.</t>
  </si>
  <si>
    <t>Es ist der Wert aller Zahlungen am Anfang der Laufzeit (zum Zeitpunkt 0, hier also zum Zeitpunkt der Pflanzung).</t>
  </si>
  <si>
    <t>Je höher der Zinssatz ist, desto geringer ist der heutige Wert einer zukünftigen Einnahme.</t>
  </si>
  <si>
    <t>so entspricht der Barwert genau den Salden von Kosten und Erlösen.</t>
  </si>
  <si>
    <r>
      <t xml:space="preserve">Für die Frage der Rentabiliät einer Investition und den Vergleich verschiedener Investitionsmöglichkeiten eignet sich u.a. die sog. </t>
    </r>
    <r>
      <rPr>
        <b/>
        <sz val="10"/>
        <color indexed="8"/>
        <rFont val="Arial"/>
        <family val="2"/>
      </rPr>
      <t>Kapitalwertmethode.</t>
    </r>
  </si>
  <si>
    <t xml:space="preserve">Kapitalwert = 0: Der Investor erhält sein eingesetztes Kapital zurück und eine Verzinsung der investierten Beträge in Höhe des Kalkulationszinssatzes. </t>
  </si>
  <si>
    <t>angegebenen Zinssatz abgedeckt sind.</t>
  </si>
  <si>
    <t xml:space="preserve">Mit der Methode "Interner Zinsfuß" wird der Zinsfuß (-satz) ermittelt, zu welchem sich das </t>
  </si>
  <si>
    <t xml:space="preserve">über den Fremdkapitalzinsen liegen. </t>
  </si>
  <si>
    <t>Weitere Informationen und Beratungsangebote</t>
  </si>
  <si>
    <t>Bioenergie-Beratung</t>
  </si>
  <si>
    <t>Steffen Kaiser</t>
  </si>
  <si>
    <t>Tel.: 0721 / 9518-224</t>
  </si>
  <si>
    <t>Fax: 0721 / 9518 - 202</t>
  </si>
  <si>
    <t>Max Thiel</t>
  </si>
  <si>
    <t>Tel.: 0721 / 9518-225</t>
  </si>
  <si>
    <t>Fax: 0721 / 9518 - 202 </t>
  </si>
  <si>
    <t xml:space="preserve">Ihre Ansprechpartner am Landwirtschaftlichen Technologiezentrum Augustenberg (LTZ), </t>
  </si>
  <si>
    <t>Kapitalwert &lt; 0: Die Investition kann eine Verzinsung des eingesetzten Kapitals zum angenommenen Kalkulationszinsfuß nicht gewährleisten bzw. es sind nicht alle Kosten gedeckt.</t>
  </si>
  <si>
    <t>Außenstelle Rheinstetten-Forchheim, Kutschenwg 20;   76287 Rheinstetten</t>
  </si>
  <si>
    <t xml:space="preserve">   Mail: Steffen.Kaiser@ltz.bwl.de </t>
  </si>
  <si>
    <t xml:space="preserve">   Mail: Max.Thiel@ltz.bwl.de </t>
  </si>
  <si>
    <t xml:space="preserve">Den heutigen Wert von zukünftigen Erlösen und Kosten bezeichnet man als Gegenwarts- oder Barwert. </t>
  </si>
  <si>
    <t>Kapitalwert &gt; 0:Der Investor erhält sein eingesetztes Kapital zurück und eine Verzinsung, die den Kalkulationszinssatz übersteigt. Es ist ein "Unternehmergewinn" entstanden.</t>
  </si>
  <si>
    <t>Ist dieser Zinsfuß größer als der Kalkulationszinsfuß, ist die Investition über die Gesamtlaufzeit berechnet</t>
  </si>
  <si>
    <t>Im Vergleich zu den klassischen einjährigen landwirtschaftlichen Kulturen unterscheiden sich Kurzumtriebsflächen durch ihren langen Produktionszeitraum und damit eine lange Flächenbindung. Mit der Anlage einer Kurzumtriebsfläche investieren Sie in eine Dauerkultur, die frühestens nach 2-3 Jahren erste Erträge liefert. Der Kapitalrückfluss erfolgt über einen langen Zeitraum in unregelmäßigen Abständen. Vor der Anlage sollten Sie u.a. die folgenden Fragen klären: Wie sollen die Hölzer geerntet und verwertet werden? Rentiert sich die Anlage einer solchen Fläche im Vergleich zur klassischen landwirtschaftlichen Nutzung mit einjährigen Kulturen? Wie hoch sind meine Investitionskosten und wann amortisieren sich die eingesetzten Kosten? Welchen Preis muss ich für das Holz erzielen, um kostendeckend zu arbeiten? Der KUP-Rechner soll Ihnen helfen, diese Fragen zu beantworten.</t>
  </si>
  <si>
    <t>Unternehmergewinn</t>
  </si>
  <si>
    <t>Annuität  - jährlicher Unternehmergewinn</t>
  </si>
  <si>
    <t xml:space="preserve">verteilt. Man erhält einen durchschnittlichen jährlichen Unternehmergewinn, der mit dem durchschnittlichen jährlichen </t>
  </si>
  <si>
    <t>verglichen werden kann.</t>
  </si>
  <si>
    <t>Die Anlage der Fläche, deren Pflege, die Ernten und die spätere Flächenrückumwandlung finden über einen langen Zeitraum verteilt statt. Es ist trotz der sehr unterschiedlichen Einzahlungs- und Auszahlungszeiträume möglich, den (durchschnittlichen) jährlichen Unternehmergewinn einer Kurzumtriebsfläche zu kalkulieren. Dabei muss aber berücksichtigt werden, dass der Geldwert sich über einen so langen Zeitraum verändert: Würde man das Geld nicht investieren, sondern anlegen, kann mit einer regelmässigen Verzinsung gerechnet werden. So wären 1000 € bei einer Verzinsung von 4% in einem Jahr 1040 € wert. In 10 Jahren wären es bereits rd. 1500,-€. Der Rechner berücksichtigt die unregelmäßig anfallenden Erlöse und Kosten, indem diese auf den Gegenwartszeitpunkt abgezinst werden.</t>
  </si>
  <si>
    <t>Unternehmergewinn aus einer anderen Nutzung mit jährlichem Ertrag (z.B. aus einer Getreidefruchtfolge)</t>
  </si>
  <si>
    <r>
      <t>Ein weiteres Vefahren zur Beurteilung der Vorteilhaftigkeit einer Investition ist die</t>
    </r>
    <r>
      <rPr>
        <b/>
        <sz val="10"/>
        <color indexed="8"/>
        <rFont val="Arial"/>
        <family val="2"/>
      </rPr>
      <t xml:space="preserve"> Annuitätenmethode. </t>
    </r>
  </si>
  <si>
    <t>Der kostendeckende Erlös entspricht dem Preis für Hackschnitzel, bei dem alle Kostenpositionen bei dem angegebenen Zinssatz</t>
  </si>
  <si>
    <t>so ist die Annuität = Null, da alle Kosten gerade abgedeckt sind.</t>
  </si>
  <si>
    <t xml:space="preserve">Stückkosten Pappelstecklinge: 0,15-0,27 €/Stück  </t>
  </si>
  <si>
    <r>
      <t xml:space="preserve">Die Pflanzkosten pro Steckling betragen 0,04-0,09 €/Steckling bei maschineller Pflanzung, z.B. 8.000 Pappelstecklinge x 0,06€ </t>
    </r>
    <r>
      <rPr>
        <sz val="10"/>
        <color indexed="17"/>
        <rFont val="Arial"/>
        <family val="2"/>
      </rPr>
      <t xml:space="preserve"> = 480 €/ha.</t>
    </r>
  </si>
  <si>
    <t>€ / t FM</t>
  </si>
  <si>
    <t>€ / t TM</t>
  </si>
  <si>
    <t xml:space="preserve"> entspricht bei WG</t>
  </si>
  <si>
    <t>Ø  pro Ernte</t>
  </si>
  <si>
    <t>Sonstige und Pflegekosten</t>
  </si>
  <si>
    <t>€/ Ernte u.ha</t>
  </si>
  <si>
    <t>Transportkosten in € je to TM</t>
  </si>
  <si>
    <t>Transportpreis in € je t und km</t>
  </si>
  <si>
    <t>€/t TM</t>
  </si>
  <si>
    <t>Ertragszuwachs Pappeln: 7 - 15 t TM/ha</t>
  </si>
  <si>
    <t>Ertragszuwachs Weiden: 7 - 10 t TM /ha</t>
  </si>
  <si>
    <t>Ertragszuwachs Erlen: 7 - 15 t TM /ha</t>
  </si>
  <si>
    <t>Ertragszuwachs Robinien: 7 - 10 t TM/ha</t>
  </si>
  <si>
    <r>
      <t>TM = Trockenmasse.</t>
    </r>
  </si>
  <si>
    <t>je t TM</t>
  </si>
  <si>
    <t>t TM/ha u. Jahr</t>
  </si>
  <si>
    <r>
      <t xml:space="preserve">Kosten der Ernte
</t>
    </r>
    <r>
      <rPr>
        <b/>
        <sz val="10"/>
        <color indexed="10"/>
        <rFont val="Arial"/>
        <family val="2"/>
      </rPr>
      <t>siehe auch Info-Nr.19 !!</t>
    </r>
  </si>
  <si>
    <r>
      <t xml:space="preserve">Ernte mit Gehölzmähhäcksler: 15 -40 €/ t TM, </t>
    </r>
    <r>
      <rPr>
        <b/>
        <sz val="10"/>
        <color indexed="10"/>
        <rFont val="Arial"/>
        <family val="2"/>
      </rPr>
      <t xml:space="preserve">bis max. 15 cm Durchmesser; </t>
    </r>
    <r>
      <rPr>
        <b/>
        <sz val="10"/>
        <color indexed="17"/>
        <rFont val="Arial"/>
        <family val="2"/>
      </rPr>
      <t xml:space="preserve"> Ø ca. 550,-€/ha</t>
    </r>
  </si>
  <si>
    <t>Umtriebskosten / Ernte</t>
  </si>
  <si>
    <t>= Pflanzenzahl x Pflanzkosten</t>
  </si>
  <si>
    <t xml:space="preserve">Fäller-Bündler + Hacken: 80 €/t TM ; </t>
  </si>
  <si>
    <t xml:space="preserve">Teilmechanisierte Ernte + Hacken: 90 €/t TM; </t>
  </si>
  <si>
    <t>Die Pachtpreise und damit der Pachtansatz variieren regional stark. Im Beispiel wird mit 200€/ha gerechnet.</t>
  </si>
  <si>
    <t>Landesanstalt für Entwicklung der Landwirtschaft und der ländlichen Räume (LEL)</t>
  </si>
  <si>
    <t xml:space="preserve">Oberbettringer Straße 162; 73525 Schwäbisch Gmünd; </t>
  </si>
  <si>
    <t>Tel.: 07171 / 917-100; Fax: 07171 / 917-101; E-Mail: poststelle@lel.bwl.de</t>
  </si>
  <si>
    <t>Für Kommentare, Anregungen und Verbesserungsvorschläge  sind wir jederzeit dankbar!</t>
  </si>
  <si>
    <t>Die Veränderung dieser Datei und die Weitergabe veränderter Kopien ist ausdrücklich untersagt.</t>
  </si>
  <si>
    <t>Die Weitergabe unveränderter Kopien ist zulässig.</t>
  </si>
  <si>
    <t>Ansprechpartner für fachliche Fragen: siehe Registerblatt InfosKUP</t>
  </si>
  <si>
    <t>copyright: LEL Schwäbisch Gmünd</t>
  </si>
  <si>
    <t>Info-Nr</t>
  </si>
  <si>
    <t>Programmvoraussetzungen</t>
  </si>
  <si>
    <t>Welche Ergebnisse werden ausgewiesen ?</t>
  </si>
  <si>
    <t>Das vorliegenden Programm wurde auf Microsoft Excel 2000 als Basis-Software entwickelt.</t>
  </si>
  <si>
    <t>Die Anwendung enthält keine Makros. Das Programm ist auf OpenOffice lauffähig.</t>
  </si>
  <si>
    <t xml:space="preserve">Ihre individuellen Berechnungen können Sie wie folgt speichern: Sie speichern die gesamte Datei </t>
  </si>
  <si>
    <t>unter einem neuen Namen ab:  ----&gt;Datei, ---&gt; Speichern unter, dann bei Dateiname individuellen Dateinamen eingeben.</t>
  </si>
  <si>
    <t>Dateneingabe</t>
  </si>
  <si>
    <t xml:space="preserve"> Wozu kann der Rechner genutzt werden?</t>
  </si>
  <si>
    <t xml:space="preserve">KUP- Rechner </t>
  </si>
  <si>
    <t>Vers. 1.0</t>
  </si>
  <si>
    <t>Barwert der Renten = Kapitalwert</t>
  </si>
  <si>
    <t>Summe der jährlichen Zahlungen</t>
  </si>
  <si>
    <t>jährliche Rente</t>
  </si>
  <si>
    <t>Herausgeber und copyright:</t>
  </si>
  <si>
    <t>wird jedoch keine Gewähr übernommen. Eine Haftung schließen wir aus.</t>
  </si>
  <si>
    <t xml:space="preserve">Das vorliegende Programm beinhaltet den Stand vom November 2010 und wurde sorgfälltig  </t>
  </si>
  <si>
    <t xml:space="preserve">erstellt und getestet. Für Aktualität, Korrektheit, Vollständigkeit </t>
  </si>
  <si>
    <t>10 Kwh/Liter Heizöl</t>
  </si>
  <si>
    <r>
      <t xml:space="preserve">Heizöläquivalent; je 1000 kg 
</t>
    </r>
    <r>
      <rPr>
        <sz val="10"/>
        <color indexed="10"/>
        <rFont val="Arial"/>
        <family val="2"/>
      </rPr>
      <t>fiktiv 100 % Wirkungsgrad</t>
    </r>
  </si>
  <si>
    <t>Der Rechner kann für geplante und bestehende Kurzumtriebsflächen genutzt werden. Er gibt</t>
  </si>
  <si>
    <t>Der Geldfluss (auch in Form der Barwerte) sowie die Amortisation wird auch im Registerblatt "Grafiken" dargestellt.</t>
  </si>
  <si>
    <t>Ansprechpartner zum Programm: Karl Krieg (Tel. 07171 / 917-226); Marcus Köhler (07171-227)</t>
  </si>
  <si>
    <t xml:space="preserve"> Infos zu Kurzumtriebshölzern</t>
  </si>
  <si>
    <t>Es wird Antwort gegeben auf die Frage, nach wieviel Jahren die Investition das investierte Kapital sowie alle angefallenen Kosten erwirtschaftet hat. Ist der Kapitalwert bzw. die Annuität negativ, hat sich die Anlage nicht amortisiert und es wurde keine Vollkostendeckung erreicht.</t>
  </si>
  <si>
    <t>Entspricht der vom Programm errechnete kostendeckende Erlös dem "Erlös Hackschnitzel" in der Erfassung,</t>
  </si>
  <si>
    <t>wirtschaftlich.</t>
  </si>
  <si>
    <t>Da das investierte Kapital im Vergleich zu den jährlichen laufenden Kosten und Erlösen von relativ geringer Bedeutung ist, wirken sich veränderte Erlöse sehr stark auf den internen Zinsfuß aus. Dieser Kennwert sollte daher nicht überbewertet werden.</t>
  </si>
  <si>
    <t>je nach Art und Standort ca. 7 - 15 to TM / ha und Jahr (s.u.)</t>
  </si>
  <si>
    <t>Einzel
ernte (t TM/ha)</t>
  </si>
  <si>
    <t>Aufwuchs
(t TM/ha)</t>
  </si>
  <si>
    <t>Erlös (€/ha)</t>
  </si>
  <si>
    <t>Prämien (€/ha)</t>
  </si>
  <si>
    <t>Rekultivierungs-kosten</t>
  </si>
  <si>
    <t>Barwerte der
Hackschnitzel-erlöse</t>
  </si>
  <si>
    <t>Korrekturfaktor für die Berechnung des kostendeckenden Erlöses</t>
  </si>
  <si>
    <t xml:space="preserve">kostendeckender Erlös Hackschnitzel </t>
  </si>
  <si>
    <t xml:space="preserve">Rendite nach der Methode "interner Zinsfuß" </t>
  </si>
  <si>
    <t xml:space="preserve">Amortisationsdauer </t>
  </si>
  <si>
    <t>In den hellblau umrandeten Zellen kann eine geschätzte Inflationsrate eingegeben werden.</t>
  </si>
  <si>
    <t xml:space="preserve">Die Auswirkungen von z.B. steigenden Hackschnitzelpreisen wären erheblich und sind weiter unten </t>
  </si>
  <si>
    <t>Der Ertragsverlauf kann im Registerblatt Berechnungen in Spalte R in den gelben Eingabefeldern verändert werden.</t>
  </si>
  <si>
    <r>
      <t xml:space="preserve">eine Übersicht über die jährlichen Kosten und Erlöse während der Standzeit einer </t>
    </r>
    <r>
      <rPr>
        <sz val="10"/>
        <color indexed="10"/>
        <rFont val="Arial"/>
        <family val="2"/>
      </rPr>
      <t>K</t>
    </r>
    <r>
      <rPr>
        <sz val="10"/>
        <color indexed="8"/>
        <rFont val="Arial"/>
        <family val="2"/>
      </rPr>
      <t>urz</t>
    </r>
    <r>
      <rPr>
        <sz val="10"/>
        <color indexed="10"/>
        <rFont val="Arial"/>
        <family val="2"/>
      </rPr>
      <t>u</t>
    </r>
    <r>
      <rPr>
        <sz val="10"/>
        <color indexed="8"/>
        <rFont val="Arial"/>
        <family val="2"/>
      </rPr>
      <t>mtriebs-</t>
    </r>
    <r>
      <rPr>
        <sz val="10"/>
        <color indexed="10"/>
        <rFont val="Arial"/>
        <family val="2"/>
      </rPr>
      <t>p</t>
    </r>
    <r>
      <rPr>
        <sz val="10"/>
        <color indexed="8"/>
        <rFont val="Arial"/>
        <family val="2"/>
      </rPr>
      <t>lantage (</t>
    </r>
    <r>
      <rPr>
        <sz val="10"/>
        <color indexed="10"/>
        <rFont val="Arial"/>
        <family val="2"/>
      </rPr>
      <t>KUP</t>
    </r>
    <r>
      <rPr>
        <sz val="10"/>
        <color indexed="8"/>
        <rFont val="Arial"/>
        <family val="2"/>
      </rPr>
      <t>) und ermittelt deren Wirtschaftlichkeit.</t>
    </r>
  </si>
  <si>
    <t>Programm zur Berechnung der Wirtschaftlichkeit vun Kurzumtriebsplantagen</t>
  </si>
  <si>
    <r>
      <t xml:space="preserve">  KUP - Rechner </t>
    </r>
  </si>
</sst>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0.0"/>
    <numFmt numFmtId="168" formatCode="#,##0.000"/>
    <numFmt numFmtId="169" formatCode="#,##0.0\ &quot;€&quot;;[Red]\-#,##0.0\ &quot;€&quot;"/>
    <numFmt numFmtId="170" formatCode="0.0%"/>
    <numFmt numFmtId="171" formatCode="_-* #,##0.0\ _€_-;\-* #,##0.0\ _€_-;_-* &quot;-&quot;?\ _€_-;_-@_-"/>
    <numFmt numFmtId="172" formatCode="_-* #,##0.0\ _€_-;\-* #,##0.0\ _€_-;_-* &quot;-&quot;\ _€_-;_-@_-"/>
    <numFmt numFmtId="173" formatCode="_-* #,##0.00\ _€_-;\-* #,##0.00\ _€_-;_-* &quot;-&quot;\ _€_-;_-@_-"/>
    <numFmt numFmtId="174" formatCode="#,##0.00_ ;\-#,##0.00\ "/>
    <numFmt numFmtId="175" formatCode="#,##0_ ;\-#,##0\ "/>
    <numFmt numFmtId="176" formatCode="0.0000"/>
    <numFmt numFmtId="177" formatCode="0.000"/>
    <numFmt numFmtId="178" formatCode="0.0"/>
    <numFmt numFmtId="179" formatCode="dd/mm/yy"/>
    <numFmt numFmtId="180" formatCode="#,##0.00_ ;[Red]\-#,##0.00\ "/>
    <numFmt numFmtId="181" formatCode="#,##0.000_ ;\-#,##0.000\ "/>
    <numFmt numFmtId="182" formatCode="#,##0.0_ ;\-#,##0.0\ "/>
    <numFmt numFmtId="183" formatCode="#,##0\ _€;\-#,##0\ _€&quot;/ha&quot;"/>
    <numFmt numFmtId="184" formatCode="0\ &quot;€/ha&quot;"/>
    <numFmt numFmtId="185" formatCode="0.00\ &quot;ha&quot;"/>
    <numFmt numFmtId="186" formatCode="0\ &quot;€&quot;"/>
    <numFmt numFmtId="187" formatCode="#,##0.00\ _€"/>
    <numFmt numFmtId="188" formatCode="d/\ mmm\ yy"/>
    <numFmt numFmtId="189" formatCode="d/m/yy"/>
    <numFmt numFmtId="190" formatCode="0.00000"/>
    <numFmt numFmtId="191" formatCode="#,##0_ ;[Red]\-#,##0\ "/>
    <numFmt numFmtId="192" formatCode="mmmmm"/>
    <numFmt numFmtId="193" formatCode="d/\ mmm/\ yy"/>
    <numFmt numFmtId="194" formatCode="d/m"/>
    <numFmt numFmtId="195" formatCode="mmm\ yyyy"/>
    <numFmt numFmtId="196" formatCode="0.000000"/>
    <numFmt numFmtId="197" formatCode="0;0;"/>
    <numFmt numFmtId="198" formatCode="0\ &quot;kg&quot;"/>
    <numFmt numFmtId="199" formatCode="_-* #,##0.000\ _€_-;\-* #,##0.000\ _€_-;_-* &quot;-&quot;??\ _€_-;_-@_-"/>
    <numFmt numFmtId="200" formatCode="_-* #,##0.0000\ _€_-;\-* #,##0.0000\ _€_-;_-* &quot;-&quot;??\ _€_-;_-@_-"/>
    <numFmt numFmtId="201" formatCode="_-* #,##0.0\ &quot;€&quot;_-;\-* #,##0.0\ &quot;€&quot;_-;_-* &quot;-&quot;??\ &quot;€&quot;_-;_-@_-"/>
    <numFmt numFmtId="202" formatCode="_-* #,##0\ &quot;€&quot;_-;\-* #,##0\ &quot;€&quot;_-;_-* &quot;-&quot;??\ &quot;€&quot;_-;_-@_-"/>
    <numFmt numFmtId="203" formatCode="#,##0.00;[Red]#,##0.00"/>
    <numFmt numFmtId="204" formatCode="#,##0.0;[Red]#,##0.0"/>
    <numFmt numFmtId="205" formatCode="#,##0;[Red]#,##0"/>
    <numFmt numFmtId="206" formatCode="#,##0\ &quot;€&quot;"/>
    <numFmt numFmtId="207" formatCode="#,##0\ \ "/>
    <numFmt numFmtId="208" formatCode="#,##0.0\ \ "/>
    <numFmt numFmtId="209" formatCode="#,##0.00\ \ "/>
    <numFmt numFmtId="210" formatCode="#,##0\ \ \ "/>
    <numFmt numFmtId="211" formatCode="#,##0.0\ \ \ "/>
    <numFmt numFmtId="212" formatCode="#,##0.00\ \ \ "/>
  </numFmts>
  <fonts count="61">
    <font>
      <sz val="10"/>
      <name val="Arial"/>
      <family val="0"/>
    </font>
    <font>
      <sz val="10"/>
      <color indexed="12"/>
      <name val="Arial"/>
      <family val="2"/>
    </font>
    <font>
      <b/>
      <sz val="10"/>
      <name val="Arial"/>
      <family val="2"/>
    </font>
    <font>
      <sz val="12"/>
      <name val="Times New Roman"/>
      <family val="1"/>
    </font>
    <font>
      <sz val="10"/>
      <color indexed="8"/>
      <name val="Arial"/>
      <family val="2"/>
    </font>
    <font>
      <u val="single"/>
      <sz val="10"/>
      <color indexed="12"/>
      <name val="Arial"/>
      <family val="0"/>
    </font>
    <font>
      <b/>
      <sz val="12"/>
      <color indexed="12"/>
      <name val="Arial"/>
      <family val="2"/>
    </font>
    <font>
      <u val="single"/>
      <sz val="10"/>
      <color indexed="36"/>
      <name val="Arial"/>
      <family val="0"/>
    </font>
    <font>
      <u val="single"/>
      <sz val="11"/>
      <color indexed="12"/>
      <name val="Arial"/>
      <family val="2"/>
    </font>
    <font>
      <sz val="11"/>
      <name val="Arial"/>
      <family val="2"/>
    </font>
    <font>
      <b/>
      <sz val="11"/>
      <name val="Arial"/>
      <family val="2"/>
    </font>
    <font>
      <sz val="10"/>
      <color indexed="17"/>
      <name val="Arial"/>
      <family val="2"/>
    </font>
    <font>
      <b/>
      <sz val="10"/>
      <color indexed="8"/>
      <name val="Arial"/>
      <family val="2"/>
    </font>
    <font>
      <sz val="10"/>
      <color indexed="10"/>
      <name val="Arial"/>
      <family val="2"/>
    </font>
    <font>
      <i/>
      <sz val="10"/>
      <color indexed="17"/>
      <name val="Arial"/>
      <family val="2"/>
    </font>
    <font>
      <b/>
      <u val="single"/>
      <sz val="10"/>
      <color indexed="10"/>
      <name val="Comic Sans MS"/>
      <family val="4"/>
    </font>
    <font>
      <b/>
      <sz val="10"/>
      <color indexed="10"/>
      <name val="Arial"/>
      <family val="2"/>
    </font>
    <font>
      <sz val="8"/>
      <color indexed="10"/>
      <name val="Arial Narrow"/>
      <family val="2"/>
    </font>
    <font>
      <b/>
      <i/>
      <sz val="10"/>
      <name val="Arial"/>
      <family val="2"/>
    </font>
    <font>
      <b/>
      <sz val="12"/>
      <color indexed="10"/>
      <name val="Arial"/>
      <family val="2"/>
    </font>
    <font>
      <b/>
      <sz val="12"/>
      <name val="Arial"/>
      <family val="2"/>
    </font>
    <font>
      <sz val="8"/>
      <name val="Tahoma"/>
      <family val="0"/>
    </font>
    <font>
      <b/>
      <sz val="10"/>
      <color indexed="12"/>
      <name val="Arial"/>
      <family val="2"/>
    </font>
    <font>
      <u val="single"/>
      <sz val="8"/>
      <color indexed="12"/>
      <name val="Arial"/>
      <family val="2"/>
    </font>
    <font>
      <b/>
      <sz val="8"/>
      <color indexed="10"/>
      <name val="Arial"/>
      <family val="2"/>
    </font>
    <font>
      <b/>
      <sz val="10"/>
      <color indexed="17"/>
      <name val="Arial"/>
      <family val="2"/>
    </font>
    <font>
      <b/>
      <sz val="8"/>
      <name val="Tahoma"/>
      <family val="0"/>
    </font>
    <font>
      <sz val="8"/>
      <color indexed="10"/>
      <name val="Arial"/>
      <family val="2"/>
    </font>
    <font>
      <sz val="9"/>
      <name val="Arial"/>
      <family val="2"/>
    </font>
    <font>
      <b/>
      <sz val="18"/>
      <name val="Arial"/>
      <family val="2"/>
    </font>
    <font>
      <sz val="10"/>
      <name val="Arial Narrow"/>
      <family val="2"/>
    </font>
    <font>
      <b/>
      <sz val="11.5"/>
      <name val="Arial"/>
      <family val="2"/>
    </font>
    <font>
      <b/>
      <sz val="14.75"/>
      <name val="Arial"/>
      <family val="0"/>
    </font>
    <font>
      <sz val="18.25"/>
      <name val="Arial"/>
      <family val="0"/>
    </font>
    <font>
      <sz val="12"/>
      <name val="Arial"/>
      <family val="0"/>
    </font>
    <font>
      <strike/>
      <sz val="10"/>
      <color indexed="17"/>
      <name val="Arial"/>
      <family val="2"/>
    </font>
    <font>
      <b/>
      <sz val="8"/>
      <color indexed="12"/>
      <name val="Arial"/>
      <family val="2"/>
    </font>
    <font>
      <i/>
      <sz val="10"/>
      <color indexed="8"/>
      <name val="Arial"/>
      <family val="2"/>
    </font>
    <font>
      <b/>
      <i/>
      <sz val="10"/>
      <color indexed="10"/>
      <name val="Arial"/>
      <family val="2"/>
    </font>
    <font>
      <b/>
      <sz val="10"/>
      <color indexed="10"/>
      <name val="Arial Narrow"/>
      <family val="2"/>
    </font>
    <font>
      <i/>
      <sz val="10"/>
      <name val="Arial"/>
      <family val="2"/>
    </font>
    <font>
      <b/>
      <i/>
      <sz val="8"/>
      <name val="Arial"/>
      <family val="2"/>
    </font>
    <font>
      <b/>
      <i/>
      <sz val="9"/>
      <name val="Arial"/>
      <family val="2"/>
    </font>
    <font>
      <sz val="8"/>
      <color indexed="16"/>
      <name val="Arial Narrow"/>
      <family val="2"/>
    </font>
    <font>
      <b/>
      <sz val="10"/>
      <color indexed="16"/>
      <name val="Arial"/>
      <family val="2"/>
    </font>
    <font>
      <u val="single"/>
      <sz val="10"/>
      <color indexed="12"/>
      <name val="Arial Narrow"/>
      <family val="2"/>
    </font>
    <font>
      <b/>
      <sz val="16"/>
      <name val="Arial"/>
      <family val="2"/>
    </font>
    <font>
      <b/>
      <sz val="22"/>
      <name val="Arial"/>
      <family val="2"/>
    </font>
    <font>
      <u val="single"/>
      <sz val="14"/>
      <color indexed="12"/>
      <name val="Arial"/>
      <family val="2"/>
    </font>
    <font>
      <sz val="8"/>
      <color indexed="8"/>
      <name val="Arial"/>
      <family val="2"/>
    </font>
    <font>
      <b/>
      <sz val="12"/>
      <color indexed="8"/>
      <name val="Arial"/>
      <family val="2"/>
    </font>
    <font>
      <b/>
      <sz val="9.75"/>
      <name val="Arial"/>
      <family val="2"/>
    </font>
    <font>
      <b/>
      <sz val="10.75"/>
      <name val="Arial"/>
      <family val="2"/>
    </font>
    <font>
      <b/>
      <sz val="11"/>
      <color indexed="12"/>
      <name val="Arial"/>
      <family val="2"/>
    </font>
    <font>
      <b/>
      <u val="single"/>
      <sz val="11"/>
      <color indexed="12"/>
      <name val="Arial"/>
      <family val="2"/>
    </font>
    <font>
      <sz val="9"/>
      <color indexed="10"/>
      <name val="Arial"/>
      <family val="2"/>
    </font>
    <font>
      <b/>
      <sz val="14"/>
      <name val="Arial"/>
      <family val="2"/>
    </font>
    <font>
      <b/>
      <sz val="16"/>
      <color indexed="12"/>
      <name val="Arial"/>
      <family val="2"/>
    </font>
    <font>
      <b/>
      <sz val="14"/>
      <color indexed="12"/>
      <name val="Arial"/>
      <family val="2"/>
    </font>
    <font>
      <b/>
      <sz val="20"/>
      <color indexed="12"/>
      <name val="Arial"/>
      <family val="2"/>
    </font>
    <font>
      <b/>
      <sz val="8"/>
      <name val="Arial"/>
      <family val="2"/>
    </font>
  </fonts>
  <fills count="10">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s>
  <borders count="127">
    <border>
      <left/>
      <right/>
      <top/>
      <bottom/>
      <diagonal/>
    </border>
    <border>
      <left style="thin">
        <color indexed="42"/>
      </left>
      <right style="thin">
        <color indexed="42"/>
      </right>
      <top style="thin">
        <color indexed="42"/>
      </top>
      <bottom style="thin">
        <color indexed="42"/>
      </bottom>
    </border>
    <border>
      <left style="thin">
        <color indexed="10"/>
      </left>
      <right style="thin">
        <color indexed="10"/>
      </right>
      <top style="thin">
        <color indexed="10"/>
      </top>
      <bottom style="thin">
        <color indexed="10"/>
      </bottom>
    </border>
    <border>
      <left style="thin"/>
      <right style="thin"/>
      <top style="thin"/>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color indexed="31"/>
      </left>
      <right style="thin">
        <color indexed="31"/>
      </right>
      <top style="thin">
        <color indexed="31"/>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medium"/>
    </border>
    <border>
      <left>
        <color indexed="63"/>
      </left>
      <right style="hair"/>
      <top style="medium"/>
      <bottom>
        <color indexed="63"/>
      </bottom>
    </border>
    <border>
      <left style="medium"/>
      <right style="hair"/>
      <top style="medium"/>
      <bottom>
        <color indexed="63"/>
      </bottom>
    </border>
    <border>
      <left>
        <color indexed="63"/>
      </left>
      <right style="hair"/>
      <top>
        <color indexed="63"/>
      </top>
      <bottom>
        <color indexed="63"/>
      </bottom>
    </border>
    <border>
      <left style="medium"/>
      <right style="hair"/>
      <top>
        <color indexed="63"/>
      </top>
      <bottom>
        <color indexed="63"/>
      </bottom>
    </border>
    <border>
      <left style="thin"/>
      <right style="thin"/>
      <top style="medium"/>
      <bottom style="thin"/>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medium"/>
      <right>
        <color indexed="63"/>
      </right>
      <top style="medium"/>
      <bottom style="thin"/>
    </border>
    <border>
      <left style="medium"/>
      <right style="medium"/>
      <top>
        <color indexed="63"/>
      </top>
      <bottom>
        <color indexed="63"/>
      </bottom>
    </border>
    <border>
      <left>
        <color indexed="63"/>
      </left>
      <right>
        <color indexed="63"/>
      </right>
      <top style="medium"/>
      <bottom style="thin"/>
    </border>
    <border>
      <left style="thick">
        <color indexed="10"/>
      </left>
      <right style="thick">
        <color indexed="10"/>
      </right>
      <top style="medium"/>
      <bottom style="thin"/>
    </border>
    <border>
      <left style="medium"/>
      <right style="medium"/>
      <top style="medium"/>
      <bottom>
        <color indexed="63"/>
      </bottom>
    </border>
    <border>
      <left style="medium"/>
      <right style="thin">
        <color indexed="10"/>
      </right>
      <top style="thin">
        <color indexed="10"/>
      </top>
      <bottom style="thin">
        <color indexed="10"/>
      </bottom>
    </border>
    <border>
      <left style="thin"/>
      <right style="medium"/>
      <top style="thin"/>
      <bottom style="medium"/>
    </border>
    <border>
      <left style="thick">
        <color indexed="10"/>
      </left>
      <right style="thick">
        <color indexed="10"/>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thick">
        <color indexed="10"/>
      </left>
      <right style="thick">
        <color indexed="10"/>
      </right>
      <top style="medium"/>
      <bottom>
        <color indexed="63"/>
      </bottom>
    </border>
    <border>
      <left style="thick">
        <color indexed="10"/>
      </left>
      <right style="thick">
        <color indexed="10"/>
      </right>
      <top>
        <color indexed="63"/>
      </top>
      <bottom style="medium"/>
    </border>
    <border>
      <left style="thin">
        <color indexed="42"/>
      </left>
      <right style="thin">
        <color indexed="42"/>
      </right>
      <top style="thin">
        <color indexed="42"/>
      </top>
      <bottom>
        <color indexed="63"/>
      </bottom>
    </border>
    <border>
      <left style="medium"/>
      <right style="medium"/>
      <top>
        <color indexed="63"/>
      </top>
      <bottom style="medium"/>
    </border>
    <border>
      <left style="hair"/>
      <right style="hair"/>
      <top style="medium"/>
      <bottom>
        <color indexed="63"/>
      </bottom>
    </border>
    <border>
      <left style="hair"/>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medium"/>
      <right>
        <color indexed="63"/>
      </right>
      <top style="thin">
        <color indexed="10"/>
      </top>
      <bottom style="thin">
        <color indexed="10"/>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medium"/>
      <bottom style="thin"/>
    </border>
    <border>
      <left style="hair"/>
      <right style="hair"/>
      <top style="medium"/>
      <bottom style="thin"/>
    </border>
    <border>
      <left style="hair"/>
      <right style="medium"/>
      <top style="medium"/>
      <bottom style="thin"/>
    </border>
    <border>
      <left style="hair"/>
      <right style="hair"/>
      <top>
        <color indexed="63"/>
      </top>
      <bottom style="medium"/>
    </border>
    <border>
      <left style="hair"/>
      <right style="medium"/>
      <top>
        <color indexed="63"/>
      </top>
      <bottom style="medium"/>
    </border>
    <border>
      <left style="thick">
        <color indexed="10"/>
      </left>
      <right style="thick">
        <color indexed="10"/>
      </right>
      <top style="thin"/>
      <bottom>
        <color indexed="63"/>
      </bottom>
    </border>
    <border>
      <left>
        <color indexed="63"/>
      </left>
      <right>
        <color indexed="63"/>
      </right>
      <top style="thin"/>
      <bottom>
        <color indexed="63"/>
      </bottom>
    </border>
    <border>
      <left style="hair"/>
      <right style="hair"/>
      <top style="thin"/>
      <bottom>
        <color indexed="63"/>
      </bottom>
    </border>
    <border>
      <left style="hair"/>
      <right style="medium"/>
      <top style="thin"/>
      <bottom>
        <color indexed="63"/>
      </bottom>
    </border>
    <border>
      <left style="medium"/>
      <right>
        <color indexed="63"/>
      </right>
      <top style="thin"/>
      <bottom>
        <color indexed="63"/>
      </bottom>
    </border>
    <border>
      <left style="medium"/>
      <right style="medium"/>
      <top style="thin"/>
      <bottom>
        <color indexed="63"/>
      </bottom>
    </border>
    <border>
      <left style="medium"/>
      <right style="hair"/>
      <top style="thin"/>
      <bottom>
        <color indexed="63"/>
      </bottom>
    </border>
    <border>
      <left>
        <color indexed="63"/>
      </left>
      <right style="hair"/>
      <top style="thin"/>
      <bottom>
        <color indexed="63"/>
      </bottom>
    </border>
    <border>
      <left>
        <color indexed="63"/>
      </left>
      <right>
        <color indexed="63"/>
      </right>
      <top style="medium"/>
      <bottom style="dashed"/>
    </border>
    <border>
      <left style="thin"/>
      <right style="thin"/>
      <top>
        <color indexed="63"/>
      </top>
      <bottom style="thin"/>
    </border>
    <border>
      <left style="double">
        <color indexed="35"/>
      </left>
      <right style="double">
        <color indexed="35"/>
      </right>
      <top style="thick">
        <color indexed="15"/>
      </top>
      <bottom style="double">
        <color indexed="35"/>
      </bottom>
    </border>
    <border>
      <left style="thick">
        <color indexed="15"/>
      </left>
      <right style="thick">
        <color indexed="15"/>
      </right>
      <top style="thick">
        <color indexed="15"/>
      </top>
      <bottom style="thick">
        <color indexed="15"/>
      </bottom>
    </border>
    <border>
      <left style="thin"/>
      <right style="medium"/>
      <top style="medium"/>
      <bottom style="thin"/>
    </border>
    <border>
      <left style="thin"/>
      <right style="medium"/>
      <top>
        <color indexed="63"/>
      </top>
      <bottom style="medium"/>
    </border>
    <border>
      <left style="thin"/>
      <right style="medium"/>
      <top>
        <color indexed="63"/>
      </top>
      <bottom>
        <color indexed="63"/>
      </bottom>
    </border>
    <border>
      <left style="thin"/>
      <right style="medium"/>
      <top style="hair"/>
      <bottom style="thin"/>
    </border>
    <border>
      <left style="medium"/>
      <right style="thin">
        <color indexed="10"/>
      </right>
      <top style="thin">
        <color indexed="10"/>
      </top>
      <bottom>
        <color indexed="63"/>
      </bottom>
    </border>
    <border>
      <left style="medium"/>
      <right style="thin">
        <color indexed="10"/>
      </right>
      <top>
        <color indexed="63"/>
      </top>
      <bottom style="thin">
        <color indexed="10"/>
      </bottom>
    </border>
    <border>
      <left style="thin">
        <color indexed="10"/>
      </left>
      <right>
        <color indexed="63"/>
      </right>
      <top>
        <color indexed="63"/>
      </top>
      <bottom>
        <color indexed="63"/>
      </bottom>
    </border>
    <border>
      <left style="medium"/>
      <right style="thin">
        <color indexed="10"/>
      </right>
      <top style="thin"/>
      <bottom style="thin">
        <color indexed="10"/>
      </bottom>
    </border>
    <border>
      <left style="thin">
        <color indexed="42"/>
      </left>
      <right style="thin">
        <color indexed="42"/>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color indexed="42"/>
      </left>
      <right style="thin">
        <color indexed="42"/>
      </right>
      <top style="thin">
        <color indexed="42"/>
      </top>
      <bottom style="thin"/>
    </border>
    <border>
      <left>
        <color indexed="63"/>
      </left>
      <right style="thin"/>
      <top>
        <color indexed="63"/>
      </top>
      <bottom>
        <color indexed="63"/>
      </bottom>
    </border>
    <border>
      <left style="thin"/>
      <right style="medium"/>
      <top style="thin"/>
      <bottom>
        <color indexed="63"/>
      </bottom>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medium"/>
      <bottom style="thin"/>
    </border>
    <border>
      <left style="medium"/>
      <right style="medium"/>
      <top style="medium"/>
      <bottom style="thin"/>
    </border>
    <border>
      <left style="thin">
        <color indexed="42"/>
      </left>
      <right style="thin">
        <color indexed="42"/>
      </right>
      <top>
        <color indexed="63"/>
      </top>
      <bottom style="thin">
        <color indexed="42"/>
      </bottom>
    </border>
    <border>
      <left style="thin">
        <color indexed="10"/>
      </left>
      <right>
        <color indexed="63"/>
      </right>
      <top>
        <color indexed="63"/>
      </top>
      <bottom style="dotted"/>
    </border>
    <border>
      <left>
        <color indexed="63"/>
      </left>
      <right>
        <color indexed="63"/>
      </right>
      <top>
        <color indexed="63"/>
      </top>
      <bottom style="dotted"/>
    </border>
    <border>
      <left style="thin">
        <color indexed="42"/>
      </left>
      <right style="thin">
        <color indexed="42"/>
      </right>
      <top style="thin">
        <color indexed="42"/>
      </top>
      <bottom style="dotted"/>
    </border>
    <border>
      <left style="thin">
        <color indexed="10"/>
      </left>
      <right>
        <color indexed="63"/>
      </right>
      <top style="dotted"/>
      <bottom>
        <color indexed="63"/>
      </bottom>
    </border>
    <border>
      <left>
        <color indexed="63"/>
      </left>
      <right>
        <color indexed="63"/>
      </right>
      <top style="dotted"/>
      <bottom>
        <color indexed="63"/>
      </bottom>
    </border>
    <border>
      <left style="thin">
        <color indexed="42"/>
      </left>
      <right style="thin">
        <color indexed="42"/>
      </right>
      <top style="dotted"/>
      <bottom style="thin">
        <color indexed="42"/>
      </bottom>
    </border>
    <border>
      <left style="thin">
        <color indexed="31"/>
      </left>
      <right>
        <color indexed="63"/>
      </right>
      <top style="dotted"/>
      <bottom style="thin">
        <color indexed="31"/>
      </bottom>
    </border>
    <border>
      <left style="thin">
        <color indexed="31"/>
      </left>
      <right>
        <color indexed="63"/>
      </right>
      <top style="hair"/>
      <bottom style="thin">
        <color indexed="31"/>
      </bottom>
    </border>
    <border>
      <left style="thin">
        <color indexed="31"/>
      </left>
      <right>
        <color indexed="63"/>
      </right>
      <top style="hair"/>
      <bottom style="dotted"/>
    </border>
    <border>
      <left style="thin"/>
      <right>
        <color indexed="63"/>
      </right>
      <top style="medium"/>
      <bottom>
        <color indexed="63"/>
      </bottom>
    </border>
    <border>
      <left style="thin"/>
      <right style="thick">
        <color indexed="15"/>
      </right>
      <top style="hair"/>
      <bottom>
        <color indexed="63"/>
      </bottom>
    </border>
    <border>
      <left style="thick">
        <color indexed="15"/>
      </left>
      <right>
        <color indexed="63"/>
      </right>
      <top style="medium">
        <color indexed="8"/>
      </top>
      <bottom>
        <color indexed="63"/>
      </bottom>
    </border>
    <border>
      <left style="thick">
        <color indexed="15"/>
      </left>
      <right>
        <color indexed="63"/>
      </right>
      <top>
        <color indexed="63"/>
      </top>
      <bottom style="thick">
        <color indexed="15"/>
      </bottom>
    </border>
    <border>
      <left style="thick">
        <color indexed="15"/>
      </left>
      <right>
        <color indexed="63"/>
      </right>
      <top style="thick">
        <color indexed="15"/>
      </top>
      <bottom style="thick">
        <color indexed="15"/>
      </bottom>
    </border>
    <border>
      <left style="medium">
        <color indexed="8"/>
      </left>
      <right>
        <color indexed="63"/>
      </right>
      <top style="thin">
        <color indexed="10"/>
      </top>
      <bottom>
        <color indexed="63"/>
      </bottom>
    </border>
    <border>
      <left style="thick">
        <color indexed="15"/>
      </left>
      <right style="medium"/>
      <top style="thick">
        <color indexed="15"/>
      </top>
      <bottom style="medium">
        <color indexed="8"/>
      </bottom>
    </border>
    <border>
      <left>
        <color indexed="63"/>
      </left>
      <right>
        <color indexed="63"/>
      </right>
      <top>
        <color indexed="63"/>
      </top>
      <bottom style="medium">
        <color indexed="8"/>
      </bottom>
    </border>
    <border>
      <left style="thin"/>
      <right style="thick">
        <color indexed="15"/>
      </right>
      <top>
        <color indexed="63"/>
      </top>
      <bottom style="medium"/>
    </border>
    <border>
      <left>
        <color indexed="63"/>
      </left>
      <right>
        <color indexed="63"/>
      </right>
      <top style="thin">
        <color indexed="10"/>
      </top>
      <bottom>
        <color indexed="63"/>
      </bottom>
    </border>
    <border>
      <left style="medium"/>
      <right style="dashed"/>
      <top style="medium"/>
      <bottom style="dashed"/>
    </border>
    <border>
      <left style="medium"/>
      <right style="dashed"/>
      <top style="dashed"/>
      <bottom style="dashed"/>
    </border>
    <border>
      <left style="medium"/>
      <right style="dashed"/>
      <top style="dashed"/>
      <bottom>
        <color indexed="63"/>
      </bottom>
    </border>
    <border>
      <left style="medium"/>
      <right style="dashed"/>
      <top style="dashed"/>
      <bottom style="medium"/>
    </border>
    <border>
      <left style="medium"/>
      <right>
        <color indexed="63"/>
      </right>
      <top style="hair"/>
      <bottom style="thin"/>
    </border>
    <border>
      <left>
        <color indexed="63"/>
      </left>
      <right style="thin"/>
      <top style="thin"/>
      <bottom style="thin"/>
    </border>
    <border>
      <left>
        <color indexed="63"/>
      </left>
      <right>
        <color indexed="63"/>
      </right>
      <top style="thin"/>
      <bottom style="medium"/>
    </border>
    <border>
      <left style="dashed"/>
      <right style="dashed"/>
      <top style="medium"/>
      <bottom style="dashed"/>
    </border>
    <border>
      <left style="dashed"/>
      <right style="medium"/>
      <top style="medium"/>
      <bottom style="dashed"/>
    </border>
    <border>
      <left style="dashed"/>
      <right style="dashed"/>
      <top style="dashed"/>
      <bottom style="dashed"/>
    </border>
    <border>
      <left style="dashed"/>
      <right style="dashed"/>
      <top style="dashed"/>
      <bottom>
        <color indexed="63"/>
      </bottom>
    </border>
    <border>
      <left style="dashed"/>
      <right style="dashed"/>
      <top style="dashed"/>
      <bottom style="medium"/>
    </border>
    <border>
      <left style="dashed"/>
      <right style="medium"/>
      <top style="dashed"/>
      <bottom style="medium"/>
    </border>
    <border>
      <left style="medium"/>
      <right style="thin"/>
      <top style="medium"/>
      <bottom style="thin"/>
    </border>
    <border>
      <left style="medium"/>
      <right style="thin"/>
      <top>
        <color indexed="63"/>
      </top>
      <bottom>
        <color indexed="63"/>
      </bottom>
    </border>
    <border>
      <left>
        <color indexed="63"/>
      </left>
      <right>
        <color indexed="63"/>
      </right>
      <top style="hair"/>
      <bottom style="thin"/>
    </border>
    <border>
      <left style="thin"/>
      <right>
        <color indexed="63"/>
      </right>
      <top style="hair"/>
      <bottom style="thin"/>
    </border>
    <border>
      <left style="medium"/>
      <right style="thin"/>
      <top style="hair"/>
      <bottom style="thin"/>
    </border>
    <border>
      <left style="medium"/>
      <right style="thin"/>
      <top>
        <color indexed="63"/>
      </top>
      <bottom style="medium"/>
    </border>
    <border>
      <left style="thin"/>
      <right>
        <color indexed="63"/>
      </right>
      <top>
        <color indexed="63"/>
      </top>
      <bottom style="medium"/>
    </border>
    <border>
      <left style="medium"/>
      <right>
        <color indexed="63"/>
      </right>
      <top style="thin"/>
      <bottom style="thin"/>
    </border>
    <border>
      <left style="medium"/>
      <right>
        <color indexed="63"/>
      </right>
      <top style="thin"/>
      <bottom style="medium"/>
    </border>
    <border>
      <left style="dashed"/>
      <right style="dashed"/>
      <top style="medium"/>
      <bottom>
        <color indexed="63"/>
      </bottom>
    </border>
    <border>
      <left style="dashed"/>
      <right style="medium"/>
      <top style="dashed"/>
      <bottom style="dashed"/>
    </border>
    <border>
      <left style="thick">
        <color indexed="15"/>
      </left>
      <right>
        <color indexed="63"/>
      </right>
      <top style="thick">
        <color indexed="15"/>
      </top>
      <bottom>
        <color indexed="63"/>
      </bottom>
    </border>
    <border>
      <left style="thick">
        <color indexed="15"/>
      </left>
      <right>
        <color indexed="63"/>
      </right>
      <top>
        <color indexed="63"/>
      </top>
      <bottom>
        <color indexed="63"/>
      </bottom>
    </border>
    <border>
      <left>
        <color indexed="63"/>
      </left>
      <right style="medium"/>
      <top style="medium"/>
      <bottom style="thin"/>
    </border>
  </borders>
  <cellStyleXfs count="28">
    <xf numFmtId="0" fontId="0" fillId="0" borderId="0">
      <alignment horizontal="center"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2" borderId="1">
      <alignment horizontal="center" vertical="center" shrinkToFit="1"/>
      <protection locked="0"/>
    </xf>
    <xf numFmtId="4" fontId="0" fillId="2" borderId="1">
      <alignment horizontal="center" vertical="center" shrinkToFit="1"/>
      <protection locked="0"/>
    </xf>
    <xf numFmtId="175" fontId="0" fillId="0" borderId="0">
      <alignment horizontal="center" vertical="center"/>
      <protection/>
    </xf>
    <xf numFmtId="174" fontId="0" fillId="0" borderId="0">
      <alignment horizontal="center" vertical="center"/>
      <protection/>
    </xf>
    <xf numFmtId="180" fontId="0" fillId="3" borderId="0">
      <alignment vertical="center"/>
      <protection/>
    </xf>
    <xf numFmtId="0" fontId="5" fillId="0" borderId="0" applyNumberFormat="0" applyFill="0" applyBorder="0" applyAlignment="0" applyProtection="0"/>
    <xf numFmtId="2" fontId="15" fillId="4" borderId="2">
      <alignment horizontal="center" vertical="center" shrinkToFit="1"/>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74">
    <xf numFmtId="0" fontId="0" fillId="0" borderId="0" xfId="0" applyAlignment="1">
      <alignment horizontal="center" vertical="center"/>
    </xf>
    <xf numFmtId="0" fontId="0" fillId="0" borderId="0" xfId="0" applyAlignment="1">
      <alignment horizontal="left" vertical="center"/>
    </xf>
    <xf numFmtId="0" fontId="0" fillId="0" borderId="3" xfId="0" applyFont="1" applyBorder="1" applyAlignment="1">
      <alignment horizontal="center"/>
    </xf>
    <xf numFmtId="0" fontId="2" fillId="5" borderId="3" xfId="0" applyFont="1" applyFill="1" applyBorder="1" applyAlignment="1">
      <alignment horizontal="center" wrapText="1"/>
    </xf>
    <xf numFmtId="0" fontId="2" fillId="0" borderId="3" xfId="0" applyFont="1" applyBorder="1" applyAlignment="1">
      <alignment horizontal="center"/>
    </xf>
    <xf numFmtId="0" fontId="2" fillId="0" borderId="0" xfId="0" applyFont="1" applyAlignment="1">
      <alignment horizontal="center" vertical="center"/>
    </xf>
    <xf numFmtId="0" fontId="0" fillId="0" borderId="0" xfId="0" applyAlignment="1">
      <alignment wrapText="1"/>
    </xf>
    <xf numFmtId="0" fontId="2" fillId="0" borderId="0" xfId="0" applyFont="1" applyAlignment="1">
      <alignment horizontal="left" vertical="center" wrapText="1"/>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23" applyFont="1" applyAlignment="1">
      <alignment/>
    </xf>
    <xf numFmtId="0" fontId="4" fillId="0" borderId="0" xfId="0" applyFont="1" applyFill="1" applyAlignment="1">
      <alignment horizontal="center" vertical="center"/>
    </xf>
    <xf numFmtId="0" fontId="6" fillId="0" borderId="0" xfId="0" applyFont="1" applyAlignment="1">
      <alignment horizontal="left" vertical="center"/>
    </xf>
    <xf numFmtId="0" fontId="0" fillId="0" borderId="0" xfId="0" applyFont="1" applyAlignment="1">
      <alignment/>
    </xf>
    <xf numFmtId="0" fontId="9" fillId="0" borderId="0" xfId="0" applyFont="1" applyAlignment="1">
      <alignment wrapText="1"/>
    </xf>
    <xf numFmtId="0" fontId="9" fillId="0" borderId="0" xfId="0" applyFont="1" applyAlignment="1">
      <alignment horizontal="center" wrapText="1"/>
    </xf>
    <xf numFmtId="0" fontId="5" fillId="0" borderId="0" xfId="23" applyAlignment="1">
      <alignment/>
    </xf>
    <xf numFmtId="0" fontId="4" fillId="0" borderId="0" xfId="0" applyFont="1" applyBorder="1" applyAlignment="1">
      <alignment horizontal="left" vertical="center" wrapText="1"/>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4" fontId="0" fillId="2" borderId="1" xfId="19" applyBorder="1">
      <alignment horizontal="center" vertical="center" shrinkToFit="1"/>
      <protection locked="0"/>
    </xf>
    <xf numFmtId="3" fontId="0" fillId="2" borderId="1" xfId="18" applyBorder="1">
      <alignment horizontal="center" vertical="center" shrinkToFit="1"/>
      <protection locked="0"/>
    </xf>
    <xf numFmtId="3" fontId="0" fillId="0" borderId="0" xfId="0" applyNumberFormat="1" applyAlignment="1">
      <alignment horizontal="center" vertical="center"/>
    </xf>
    <xf numFmtId="0" fontId="0" fillId="0" borderId="0" xfId="0" applyFont="1" applyAlignment="1">
      <alignment horizontal="left" vertical="center"/>
    </xf>
    <xf numFmtId="0" fontId="8" fillId="0" borderId="0" xfId="23" applyFont="1" applyAlignment="1">
      <alignment horizontal="center" wrapText="1"/>
    </xf>
    <xf numFmtId="0" fontId="0" fillId="0" borderId="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Alignment="1">
      <alignment horizontal="right" vertical="center"/>
    </xf>
    <xf numFmtId="6" fontId="0" fillId="5" borderId="3" xfId="0" applyNumberFormat="1" applyFont="1" applyFill="1" applyBorder="1" applyAlignment="1">
      <alignment horizontal="right"/>
    </xf>
    <xf numFmtId="3" fontId="0" fillId="6" borderId="3" xfId="0" applyNumberFormat="1" applyFont="1" applyFill="1" applyBorder="1" applyAlignment="1">
      <alignment horizontal="right"/>
    </xf>
    <xf numFmtId="0" fontId="2" fillId="6" borderId="3" xfId="0" applyFont="1" applyFill="1" applyBorder="1" applyAlignment="1">
      <alignment horizontal="right" wrapText="1"/>
    </xf>
    <xf numFmtId="41" fontId="0" fillId="0" borderId="0" xfId="17" applyAlignment="1">
      <alignment horizontal="center" vertical="center"/>
    </xf>
    <xf numFmtId="174" fontId="0" fillId="0" borderId="0" xfId="21" applyBorder="1">
      <alignment horizontal="center" vertical="center"/>
      <protection/>
    </xf>
    <xf numFmtId="0" fontId="0" fillId="0" borderId="5" xfId="0" applyBorder="1" applyAlignment="1">
      <alignment horizontal="right" vertical="center"/>
    </xf>
    <xf numFmtId="1" fontId="0" fillId="0" borderId="5" xfId="0" applyNumberFormat="1" applyBorder="1" applyAlignment="1">
      <alignment horizontal="right" vertical="center"/>
    </xf>
    <xf numFmtId="0" fontId="0" fillId="0" borderId="8" xfId="0" applyBorder="1" applyAlignment="1">
      <alignment horizontal="center" vertical="center" textRotation="90"/>
    </xf>
    <xf numFmtId="170" fontId="16" fillId="0" borderId="9" xfId="0" applyNumberFormat="1" applyFont="1" applyFill="1" applyBorder="1" applyAlignment="1">
      <alignment horizontal="center" vertical="center"/>
    </xf>
    <xf numFmtId="0" fontId="0" fillId="0" borderId="8" xfId="0" applyFill="1" applyBorder="1" applyAlignment="1">
      <alignment horizontal="center" vertical="center" textRotation="90" wrapText="1"/>
    </xf>
    <xf numFmtId="0" fontId="17" fillId="0" borderId="0" xfId="0" applyFont="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6" fontId="2" fillId="5" borderId="11" xfId="0" applyNumberFormat="1" applyFont="1" applyFill="1" applyBorder="1" applyAlignment="1">
      <alignment horizontal="center"/>
    </xf>
    <xf numFmtId="0" fontId="10" fillId="0" borderId="0" xfId="0" applyFont="1" applyAlignment="1">
      <alignment horizontal="left" vertical="center"/>
    </xf>
    <xf numFmtId="180" fontId="0" fillId="3" borderId="0" xfId="22">
      <alignment vertical="center"/>
      <protection/>
    </xf>
    <xf numFmtId="0" fontId="0" fillId="7" borderId="12" xfId="0" applyFill="1" applyBorder="1" applyAlignment="1">
      <alignment horizontal="center" vertical="center" textRotation="90" wrapText="1"/>
    </xf>
    <xf numFmtId="0" fontId="0" fillId="7" borderId="13" xfId="0" applyFill="1" applyBorder="1" applyAlignment="1">
      <alignment horizontal="center" vertical="center" textRotation="90" wrapText="1"/>
    </xf>
    <xf numFmtId="170" fontId="16" fillId="7" borderId="12" xfId="0" applyNumberFormat="1" applyFont="1" applyFill="1" applyBorder="1" applyAlignment="1">
      <alignment horizontal="center" vertical="center"/>
    </xf>
    <xf numFmtId="174" fontId="0" fillId="7" borderId="14" xfId="21" applyFill="1" applyBorder="1">
      <alignment horizontal="center" vertical="center"/>
      <protection/>
    </xf>
    <xf numFmtId="0" fontId="0" fillId="7" borderId="14" xfId="0" applyFill="1" applyBorder="1" applyAlignment="1">
      <alignment horizontal="right" vertical="center"/>
    </xf>
    <xf numFmtId="0" fontId="2" fillId="7" borderId="9" xfId="0" applyFont="1" applyFill="1" applyBorder="1" applyAlignment="1">
      <alignment horizontal="center" vertical="center" textRotation="90" wrapText="1"/>
    </xf>
    <xf numFmtId="175" fontId="2" fillId="7" borderId="0" xfId="20" applyFont="1" applyFill="1" applyBorder="1">
      <alignment horizontal="center" vertical="center"/>
      <protection/>
    </xf>
    <xf numFmtId="1" fontId="0" fillId="7" borderId="15" xfId="0" applyNumberFormat="1" applyFill="1" applyBorder="1" applyAlignment="1">
      <alignment horizontal="right" vertical="center"/>
    </xf>
    <xf numFmtId="1" fontId="0" fillId="7" borderId="14" xfId="20" applyNumberFormat="1" applyFill="1" applyBorder="1">
      <alignment horizontal="center" vertical="center"/>
      <protection/>
    </xf>
    <xf numFmtId="1" fontId="0" fillId="7" borderId="14" xfId="0" applyNumberFormat="1" applyFill="1" applyBorder="1" applyAlignment="1">
      <alignment horizontal="right" vertical="center"/>
    </xf>
    <xf numFmtId="175" fontId="0" fillId="0" borderId="5" xfId="0" applyNumberFormat="1" applyBorder="1" applyAlignment="1">
      <alignment horizontal="right" vertical="center"/>
    </xf>
    <xf numFmtId="175" fontId="0" fillId="0" borderId="0" xfId="21" applyNumberFormat="1" applyBorder="1">
      <alignment horizontal="center" vertical="center"/>
      <protection/>
    </xf>
    <xf numFmtId="0" fontId="17" fillId="0" borderId="8" xfId="0" applyFont="1" applyBorder="1" applyAlignment="1">
      <alignment horizontal="center" vertical="center" textRotation="90" wrapText="1"/>
    </xf>
    <xf numFmtId="0" fontId="2" fillId="0" borderId="16" xfId="0" applyFont="1" applyBorder="1" applyAlignment="1">
      <alignment horizontal="center"/>
    </xf>
    <xf numFmtId="0" fontId="0" fillId="0" borderId="9" xfId="0" applyBorder="1" applyAlignment="1">
      <alignment horizontal="center" vertical="center" textRotation="90" wrapText="1"/>
    </xf>
    <xf numFmtId="3" fontId="17" fillId="0" borderId="5" xfId="0" applyNumberFormat="1" applyFont="1" applyBorder="1" applyAlignment="1">
      <alignment horizontal="center" vertical="center"/>
    </xf>
    <xf numFmtId="3" fontId="17" fillId="0" borderId="17" xfId="0" applyNumberFormat="1" applyFont="1" applyBorder="1" applyAlignment="1">
      <alignment horizontal="right" vertical="center"/>
    </xf>
    <xf numFmtId="0" fontId="18" fillId="0" borderId="11" xfId="0" applyFont="1" applyBorder="1" applyAlignment="1">
      <alignment horizontal="center"/>
    </xf>
    <xf numFmtId="3" fontId="2" fillId="6" borderId="11" xfId="0" applyNumberFormat="1" applyFont="1" applyFill="1" applyBorder="1" applyAlignment="1">
      <alignment horizontal="right"/>
    </xf>
    <xf numFmtId="3" fontId="2" fillId="5" borderId="11" xfId="0" applyNumberFormat="1" applyFont="1" applyFill="1" applyBorder="1" applyAlignment="1">
      <alignment horizontal="center" wrapText="1"/>
    </xf>
    <xf numFmtId="6" fontId="2" fillId="5" borderId="11" xfId="0" applyNumberFormat="1" applyFont="1" applyFill="1" applyBorder="1" applyAlignment="1">
      <alignment horizontal="right"/>
    </xf>
    <xf numFmtId="41" fontId="0" fillId="0" borderId="10" xfId="17" applyBorder="1" applyAlignment="1">
      <alignment horizontal="center" vertical="center"/>
    </xf>
    <xf numFmtId="0" fontId="17" fillId="0" borderId="17" xfId="0" applyFont="1" applyBorder="1" applyAlignment="1">
      <alignment horizontal="center" vertical="center"/>
    </xf>
    <xf numFmtId="178" fontId="2" fillId="0" borderId="10" xfId="0" applyNumberFormat="1" applyFont="1" applyBorder="1" applyAlignment="1">
      <alignment horizontal="center" vertical="center"/>
    </xf>
    <xf numFmtId="1" fontId="2" fillId="0" borderId="10" xfId="0" applyNumberFormat="1" applyFont="1" applyBorder="1" applyAlignment="1">
      <alignment horizontal="center" vertical="center"/>
    </xf>
    <xf numFmtId="1" fontId="2" fillId="0" borderId="18" xfId="0" applyNumberFormat="1" applyFont="1" applyBorder="1" applyAlignment="1">
      <alignment horizontal="center" vertical="center"/>
    </xf>
    <xf numFmtId="0" fontId="2" fillId="0" borderId="19" xfId="0" applyFont="1" applyBorder="1" applyAlignment="1">
      <alignment horizontal="right"/>
    </xf>
    <xf numFmtId="3" fontId="2" fillId="6" borderId="19" xfId="0" applyNumberFormat="1" applyFont="1" applyFill="1" applyBorder="1" applyAlignment="1">
      <alignment horizontal="right"/>
    </xf>
    <xf numFmtId="6" fontId="2" fillId="5" borderId="19" xfId="0" applyNumberFormat="1" applyFont="1" applyFill="1" applyBorder="1" applyAlignment="1">
      <alignment horizontal="right"/>
    </xf>
    <xf numFmtId="0" fontId="17" fillId="0" borderId="20" xfId="0" applyFont="1" applyBorder="1" applyAlignment="1">
      <alignment horizontal="center" vertical="center"/>
    </xf>
    <xf numFmtId="0" fontId="2" fillId="6" borderId="16" xfId="0" applyFont="1" applyFill="1" applyBorder="1" applyAlignment="1">
      <alignment horizontal="center" vertical="top" wrapText="1"/>
    </xf>
    <xf numFmtId="0" fontId="2" fillId="5" borderId="16" xfId="0" applyFont="1" applyFill="1" applyBorder="1" applyAlignment="1">
      <alignment horizontal="center" vertical="top" wrapText="1"/>
    </xf>
    <xf numFmtId="175" fontId="0" fillId="0" borderId="21" xfId="20" applyBorder="1">
      <alignment horizontal="center" vertical="center"/>
      <protection/>
    </xf>
    <xf numFmtId="1" fontId="2" fillId="0" borderId="17" xfId="0" applyNumberFormat="1" applyFont="1" applyBorder="1" applyAlignment="1">
      <alignment horizontal="center" vertical="center"/>
    </xf>
    <xf numFmtId="0" fontId="0" fillId="0" borderId="0" xfId="0" applyFont="1" applyAlignment="1">
      <alignment horizontal="center" vertical="center"/>
    </xf>
    <xf numFmtId="0" fontId="0" fillId="0" borderId="16" xfId="0" applyFont="1" applyBorder="1" applyAlignment="1">
      <alignment horizontal="right"/>
    </xf>
    <xf numFmtId="3" fontId="0" fillId="6" borderId="16" xfId="0" applyNumberFormat="1" applyFont="1" applyFill="1" applyBorder="1" applyAlignment="1">
      <alignment horizontal="right" shrinkToFit="1"/>
    </xf>
    <xf numFmtId="6" fontId="0" fillId="5" borderId="16" xfId="0" applyNumberFormat="1" applyFont="1" applyFill="1" applyBorder="1" applyAlignment="1">
      <alignment horizontal="right"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175" fontId="0" fillId="0" borderId="22" xfId="20" applyFont="1" applyBorder="1" applyAlignment="1">
      <alignment horizontal="center" vertical="center" shrinkToFit="1"/>
      <protection/>
    </xf>
    <xf numFmtId="41" fontId="0" fillId="0" borderId="22" xfId="17" applyFont="1" applyBorder="1" applyAlignment="1">
      <alignment horizontal="center" vertical="center" shrinkToFit="1"/>
    </xf>
    <xf numFmtId="175" fontId="0" fillId="0" borderId="20" xfId="20" applyFont="1" applyBorder="1" applyAlignment="1">
      <alignment horizontal="center" vertical="center" shrinkToFit="1"/>
      <protection/>
    </xf>
    <xf numFmtId="0" fontId="0" fillId="0" borderId="0" xfId="0" applyFont="1" applyAlignment="1">
      <alignment horizontal="center" vertical="center"/>
    </xf>
    <xf numFmtId="0" fontId="0" fillId="0" borderId="24" xfId="0" applyBorder="1" applyAlignment="1">
      <alignment horizontal="center" vertical="center" textRotation="90"/>
    </xf>
    <xf numFmtId="41" fontId="0" fillId="0" borderId="21" xfId="17" applyBorder="1" applyAlignment="1">
      <alignment horizontal="center" vertical="center"/>
    </xf>
    <xf numFmtId="175" fontId="0" fillId="0" borderId="21" xfId="21" applyNumberFormat="1" applyBorder="1">
      <alignment horizontal="center" vertical="center"/>
      <protection/>
    </xf>
    <xf numFmtId="0" fontId="0" fillId="0" borderId="10" xfId="0" applyBorder="1" applyAlignment="1">
      <alignment horizontal="left" vertical="center"/>
    </xf>
    <xf numFmtId="0" fontId="0" fillId="0" borderId="17" xfId="0"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13" fillId="0" borderId="0" xfId="0" applyFont="1" applyAlignment="1">
      <alignment horizontal="left" vertical="center"/>
    </xf>
    <xf numFmtId="2" fontId="5" fillId="4" borderId="25" xfId="23" applyBorder="1" applyAlignment="1">
      <alignment horizontal="center" vertical="center" shrinkToFit="1"/>
    </xf>
    <xf numFmtId="170" fontId="0" fillId="0" borderId="0" xfId="0" applyNumberFormat="1" applyAlignment="1">
      <alignment horizontal="center" vertical="center"/>
    </xf>
    <xf numFmtId="6" fontId="20" fillId="5" borderId="26" xfId="0" applyNumberFormat="1" applyFont="1" applyFill="1" applyBorder="1" applyAlignment="1">
      <alignment horizontal="center"/>
    </xf>
    <xf numFmtId="0" fontId="2" fillId="0" borderId="0" xfId="0" applyFont="1" applyBorder="1" applyAlignment="1">
      <alignment horizontal="right" vertical="center"/>
    </xf>
    <xf numFmtId="167" fontId="2" fillId="2" borderId="27" xfId="19" applyNumberFormat="1" applyFont="1" applyBorder="1">
      <alignment horizontal="center" vertical="center" shrinkToFit="1"/>
      <protection locked="0"/>
    </xf>
    <xf numFmtId="0" fontId="17" fillId="0" borderId="9" xfId="0" applyFont="1" applyBorder="1" applyAlignment="1">
      <alignment horizontal="center" vertical="center" textRotation="90" wrapText="1"/>
    </xf>
    <xf numFmtId="3" fontId="17" fillId="0" borderId="0" xfId="0" applyNumberFormat="1" applyFont="1" applyBorder="1" applyAlignment="1">
      <alignment horizontal="center" vertical="center"/>
    </xf>
    <xf numFmtId="0" fontId="17" fillId="0" borderId="22" xfId="0" applyFont="1" applyBorder="1" applyAlignment="1">
      <alignment horizontal="center" vertical="center"/>
    </xf>
    <xf numFmtId="0" fontId="17" fillId="0" borderId="10" xfId="0" applyFont="1" applyBorder="1" applyAlignment="1">
      <alignment horizontal="center" vertical="center"/>
    </xf>
    <xf numFmtId="3" fontId="17" fillId="0" borderId="28" xfId="0" applyNumberFormat="1" applyFont="1" applyBorder="1" applyAlignment="1">
      <alignment horizontal="center" vertical="center"/>
    </xf>
    <xf numFmtId="3" fontId="17" fillId="0" borderId="29" xfId="0" applyNumberFormat="1" applyFont="1" applyBorder="1" applyAlignment="1">
      <alignment horizontal="center" vertical="center"/>
    </xf>
    <xf numFmtId="49" fontId="11" fillId="0" borderId="0" xfId="0" applyNumberFormat="1" applyFont="1" applyBorder="1" applyAlignment="1">
      <alignment horizontal="left" vertical="center" wrapText="1"/>
    </xf>
    <xf numFmtId="0" fontId="5" fillId="0" borderId="0" xfId="23" applyAlignment="1">
      <alignment horizontal="left" vertical="center"/>
    </xf>
    <xf numFmtId="3" fontId="0" fillId="3" borderId="1" xfId="18" applyFill="1" applyBorder="1" applyProtection="1">
      <alignment horizontal="center" vertical="center" shrinkToFit="1"/>
      <protection/>
    </xf>
    <xf numFmtId="0" fontId="2" fillId="0" borderId="9" xfId="0" applyFont="1" applyBorder="1" applyAlignment="1">
      <alignment horizontal="left" vertical="center"/>
    </xf>
    <xf numFmtId="0" fontId="0" fillId="0" borderId="0" xfId="0" applyBorder="1" applyAlignment="1">
      <alignment horizontal="right" vertical="center"/>
    </xf>
    <xf numFmtId="0" fontId="23" fillId="0" borderId="0" xfId="23" applyFont="1" applyBorder="1" applyAlignment="1">
      <alignment horizontal="left" vertical="center"/>
    </xf>
    <xf numFmtId="0" fontId="2" fillId="2" borderId="30" xfId="0" applyFont="1" applyFill="1" applyBorder="1" applyAlignment="1">
      <alignment horizontal="center" vertical="center" textRotation="90" wrapText="1"/>
    </xf>
    <xf numFmtId="0" fontId="16" fillId="2" borderId="0" xfId="0" applyFont="1" applyFill="1" applyAlignment="1">
      <alignment horizontal="left" vertical="center"/>
    </xf>
    <xf numFmtId="41" fontId="0" fillId="2" borderId="0" xfId="17" applyFill="1" applyAlignment="1">
      <alignment horizontal="center" vertical="center"/>
    </xf>
    <xf numFmtId="0" fontId="9" fillId="0" borderId="0" xfId="0" applyFont="1" applyAlignment="1">
      <alignment horizontal="left" vertical="center"/>
    </xf>
    <xf numFmtId="0" fontId="16" fillId="0" borderId="0" xfId="0" applyFont="1" applyFill="1" applyAlignment="1">
      <alignment horizontal="center" vertical="center"/>
    </xf>
    <xf numFmtId="0" fontId="16" fillId="0" borderId="0" xfId="0" applyFont="1" applyFill="1" applyAlignment="1">
      <alignment horizontal="left" vertical="center"/>
    </xf>
    <xf numFmtId="0" fontId="27" fillId="0" borderId="0" xfId="0" applyFont="1" applyAlignment="1">
      <alignment horizontal="left" vertical="center"/>
    </xf>
    <xf numFmtId="0" fontId="0" fillId="0" borderId="8" xfId="0" applyBorder="1" applyAlignment="1">
      <alignment horizontal="center" vertical="center"/>
    </xf>
    <xf numFmtId="41" fontId="0" fillId="0" borderId="6" xfId="17" applyFont="1" applyBorder="1" applyAlignment="1">
      <alignment horizontal="center" vertical="center"/>
    </xf>
    <xf numFmtId="3" fontId="1" fillId="2" borderId="1" xfId="18" applyFont="1" applyBorder="1">
      <alignment horizontal="center" vertical="center" shrinkToFit="1"/>
      <protection locked="0"/>
    </xf>
    <xf numFmtId="0" fontId="28" fillId="0" borderId="0" xfId="0" applyFont="1" applyBorder="1" applyAlignment="1">
      <alignment horizontal="left" vertical="center"/>
    </xf>
    <xf numFmtId="0" fontId="29" fillId="0" borderId="5" xfId="0" applyFont="1" applyBorder="1" applyAlignment="1">
      <alignment horizontal="left" vertical="center"/>
    </xf>
    <xf numFmtId="0" fontId="13" fillId="0" borderId="0" xfId="0" applyFont="1" applyAlignment="1">
      <alignment horizontal="center" vertical="center"/>
    </xf>
    <xf numFmtId="178" fontId="2" fillId="0" borderId="31" xfId="0" applyNumberFormat="1" applyFont="1" applyBorder="1" applyAlignment="1">
      <alignment horizontal="center" vertical="center"/>
    </xf>
    <xf numFmtId="3" fontId="0" fillId="0" borderId="0" xfId="0" applyNumberFormat="1" applyBorder="1" applyAlignment="1">
      <alignment horizontal="center" vertical="center"/>
    </xf>
    <xf numFmtId="6" fontId="0" fillId="0" borderId="0" xfId="0" applyNumberFormat="1" applyAlignment="1">
      <alignment horizontal="center" vertical="center"/>
    </xf>
    <xf numFmtId="6" fontId="2" fillId="5" borderId="19" xfId="0" applyNumberFormat="1" applyFont="1" applyFill="1" applyBorder="1" applyAlignment="1">
      <alignment horizontal="center"/>
    </xf>
    <xf numFmtId="8" fontId="0" fillId="0" borderId="0" xfId="0" applyNumberFormat="1" applyFont="1" applyAlignment="1">
      <alignment horizontal="center" vertical="center"/>
    </xf>
    <xf numFmtId="0" fontId="0" fillId="5" borderId="24" xfId="0" applyFill="1" applyBorder="1" applyAlignment="1">
      <alignment horizontal="center" vertical="center" textRotation="90" wrapText="1"/>
    </xf>
    <xf numFmtId="8" fontId="2" fillId="5" borderId="26" xfId="0" applyNumberFormat="1" applyFont="1" applyFill="1" applyBorder="1" applyAlignment="1">
      <alignment horizontal="center"/>
    </xf>
    <xf numFmtId="191" fontId="2" fillId="5" borderId="11" xfId="0" applyNumberFormat="1" applyFont="1" applyFill="1" applyBorder="1" applyAlignment="1">
      <alignment horizontal="center"/>
    </xf>
    <xf numFmtId="175" fontId="0" fillId="0" borderId="0" xfId="20">
      <alignment horizontal="center" vertical="center"/>
      <protection/>
    </xf>
    <xf numFmtId="0" fontId="0" fillId="0" borderId="0" xfId="0" applyFont="1" applyBorder="1" applyAlignment="1">
      <alignment horizontal="center" vertical="center"/>
    </xf>
    <xf numFmtId="4" fontId="17" fillId="0" borderId="0" xfId="0" applyNumberFormat="1" applyFont="1" applyAlignment="1">
      <alignment horizontal="center" vertical="center"/>
    </xf>
    <xf numFmtId="1" fontId="0" fillId="0" borderId="0" xfId="0" applyNumberFormat="1" applyAlignment="1">
      <alignment horizontal="center" vertical="center"/>
    </xf>
    <xf numFmtId="4" fontId="0" fillId="2" borderId="32" xfId="19" applyBorder="1">
      <alignment horizontal="center" vertical="center" shrinkToFit="1"/>
      <protection locked="0"/>
    </xf>
    <xf numFmtId="2" fontId="0" fillId="0" borderId="0" xfId="0" applyNumberFormat="1" applyAlignment="1">
      <alignment horizontal="center" vertical="center"/>
    </xf>
    <xf numFmtId="0" fontId="0" fillId="0" borderId="33" xfId="0" applyBorder="1" applyAlignment="1">
      <alignment horizontal="right" vertical="center"/>
    </xf>
    <xf numFmtId="3" fontId="2" fillId="5" borderId="19" xfId="0" applyNumberFormat="1" applyFont="1" applyFill="1" applyBorder="1" applyAlignment="1">
      <alignment horizontal="center" wrapText="1"/>
    </xf>
    <xf numFmtId="175" fontId="0" fillId="0" borderId="33" xfId="21" applyNumberFormat="1" applyBorder="1">
      <alignment horizontal="center" vertical="center"/>
      <protection/>
    </xf>
    <xf numFmtId="0" fontId="0" fillId="0" borderId="34" xfId="0" applyBorder="1" applyAlignment="1">
      <alignment horizontal="center" vertical="center" textRotation="90" wrapText="1"/>
    </xf>
    <xf numFmtId="0" fontId="0" fillId="0" borderId="35" xfId="0" applyFill="1" applyBorder="1" applyAlignment="1">
      <alignment horizontal="center" vertical="center" textRotation="90"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9" xfId="0" applyBorder="1" applyAlignment="1">
      <alignment horizontal="left" vertical="center"/>
    </xf>
    <xf numFmtId="8" fontId="0" fillId="0" borderId="0" xfId="0" applyNumberFormat="1" applyBorder="1" applyAlignment="1">
      <alignment horizontal="center" vertical="center"/>
    </xf>
    <xf numFmtId="2" fontId="5" fillId="4" borderId="38" xfId="23" applyBorder="1" applyAlignment="1">
      <alignment horizontal="center" vertical="center" shrinkToFi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30" fillId="0" borderId="22" xfId="0" applyFont="1" applyBorder="1" applyAlignment="1">
      <alignment horizontal="left" vertical="center"/>
    </xf>
    <xf numFmtId="0" fontId="10" fillId="0" borderId="42" xfId="0" applyFont="1" applyBorder="1" applyAlignment="1">
      <alignment horizontal="left" vertical="center"/>
    </xf>
    <xf numFmtId="0" fontId="0" fillId="0" borderId="43" xfId="0" applyBorder="1" applyAlignment="1">
      <alignment horizontal="center" vertical="center"/>
    </xf>
    <xf numFmtId="1" fontId="0" fillId="0" borderId="36" xfId="0" applyNumberFormat="1" applyBorder="1" applyAlignment="1">
      <alignment horizontal="center" vertical="center"/>
    </xf>
    <xf numFmtId="0" fontId="0" fillId="0" borderId="44"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6" xfId="0" applyBorder="1" applyAlignment="1">
      <alignment horizontal="center" vertical="center"/>
    </xf>
    <xf numFmtId="178" fontId="2" fillId="0" borderId="47" xfId="0" applyNumberFormat="1" applyFont="1" applyBorder="1" applyAlignment="1">
      <alignment horizontal="center" vertical="center"/>
    </xf>
    <xf numFmtId="170" fontId="16" fillId="0" borderId="35" xfId="0" applyNumberFormat="1" applyFont="1" applyFill="1" applyBorder="1" applyAlignment="1">
      <alignment horizontal="center" vertical="center"/>
    </xf>
    <xf numFmtId="174" fontId="0" fillId="0" borderId="37" xfId="21" applyBorder="1">
      <alignment horizontal="center" vertical="center"/>
      <protection/>
    </xf>
    <xf numFmtId="0" fontId="0" fillId="0" borderId="45" xfId="0" applyFont="1" applyBorder="1" applyAlignment="1">
      <alignment horizontal="center" vertical="center" shrinkToFit="1"/>
    </xf>
    <xf numFmtId="1" fontId="2" fillId="0" borderId="47" xfId="0" applyNumberFormat="1" applyFont="1" applyBorder="1" applyAlignment="1">
      <alignment horizontal="center" vertical="center"/>
    </xf>
    <xf numFmtId="0" fontId="0" fillId="0" borderId="35" xfId="0" applyBorder="1" applyAlignment="1">
      <alignment horizontal="center" vertical="center" textRotation="90"/>
    </xf>
    <xf numFmtId="175" fontId="0" fillId="0" borderId="37" xfId="21" applyNumberFormat="1" applyBorder="1">
      <alignment horizontal="center" vertical="center"/>
      <protection/>
    </xf>
    <xf numFmtId="175" fontId="0" fillId="0" borderId="45" xfId="20" applyFont="1" applyBorder="1" applyAlignment="1">
      <alignment horizontal="center" vertical="center" shrinkToFit="1"/>
      <protection/>
    </xf>
    <xf numFmtId="1" fontId="0" fillId="0" borderId="37" xfId="0" applyNumberFormat="1" applyBorder="1" applyAlignment="1">
      <alignment horizontal="center" vertical="center"/>
    </xf>
    <xf numFmtId="0" fontId="1" fillId="0" borderId="21" xfId="0" applyFont="1" applyBorder="1" applyAlignment="1">
      <alignment horizontal="righ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41" fontId="0" fillId="0" borderId="52" xfId="17" applyBorder="1" applyAlignment="1">
      <alignment horizontal="right" vertical="center"/>
    </xf>
    <xf numFmtId="174" fontId="0" fillId="0" borderId="49" xfId="21" applyBorder="1">
      <alignment horizontal="center" vertical="center"/>
      <protection/>
    </xf>
    <xf numFmtId="174" fontId="0" fillId="0" borderId="53" xfId="21" applyBorder="1">
      <alignment horizontal="center" vertical="center"/>
      <protection/>
    </xf>
    <xf numFmtId="41" fontId="1" fillId="0" borderId="53" xfId="17" applyFont="1" applyBorder="1" applyAlignment="1">
      <alignment horizontal="right" vertical="center"/>
    </xf>
    <xf numFmtId="41" fontId="0" fillId="7" borderId="54" xfId="17" applyFill="1" applyBorder="1" applyAlignment="1">
      <alignment horizontal="center" vertical="center"/>
    </xf>
    <xf numFmtId="41" fontId="0" fillId="7" borderId="55" xfId="17" applyFill="1" applyBorder="1" applyAlignment="1">
      <alignment horizontal="center" vertical="center"/>
    </xf>
    <xf numFmtId="41" fontId="0" fillId="7" borderId="54" xfId="17" applyFill="1" applyBorder="1" applyAlignment="1">
      <alignment horizontal="right" vertical="center"/>
    </xf>
    <xf numFmtId="41" fontId="0" fillId="7" borderId="55" xfId="17" applyFill="1" applyBorder="1" applyAlignment="1">
      <alignment horizontal="right" vertical="center"/>
    </xf>
    <xf numFmtId="41" fontId="2" fillId="7" borderId="49" xfId="17" applyFont="1" applyFill="1" applyBorder="1" applyAlignment="1">
      <alignment horizontal="center" vertical="center"/>
    </xf>
    <xf numFmtId="41" fontId="0" fillId="0" borderId="51" xfId="17" applyBorder="1" applyAlignment="1">
      <alignment horizontal="center" vertical="center"/>
    </xf>
    <xf numFmtId="41" fontId="0" fillId="0" borderId="53" xfId="17" applyBorder="1" applyAlignment="1">
      <alignment horizontal="center" vertical="center"/>
    </xf>
    <xf numFmtId="41" fontId="0" fillId="0" borderId="49" xfId="17" applyBorder="1" applyAlignment="1">
      <alignment horizontal="center" vertical="center"/>
    </xf>
    <xf numFmtId="41" fontId="0" fillId="0" borderId="0" xfId="0" applyNumberFormat="1" applyAlignment="1">
      <alignment horizontal="center" vertical="center"/>
    </xf>
    <xf numFmtId="0" fontId="0" fillId="8" borderId="56" xfId="0" applyFill="1" applyBorder="1" applyAlignment="1" applyProtection="1">
      <alignment horizontal="center" vertical="center"/>
      <protection locked="0"/>
    </xf>
    <xf numFmtId="0" fontId="4" fillId="0" borderId="0" xfId="0" applyFont="1" applyBorder="1" applyAlignment="1">
      <alignment horizontal="left" vertical="center"/>
    </xf>
    <xf numFmtId="0" fontId="0" fillId="0" borderId="57" xfId="0" applyBorder="1" applyAlignment="1">
      <alignment horizontal="center" vertical="center"/>
    </xf>
    <xf numFmtId="0" fontId="0" fillId="0" borderId="0" xfId="0" applyAlignment="1">
      <alignment horizontal="center" vertical="center" wrapText="1"/>
    </xf>
    <xf numFmtId="0" fontId="25" fillId="0" borderId="0" xfId="0" applyFont="1" applyBorder="1" applyAlignment="1">
      <alignment horizontal="left" vertical="center" wrapText="1"/>
    </xf>
    <xf numFmtId="200" fontId="0" fillId="0" borderId="0" xfId="0" applyNumberFormat="1" applyAlignment="1">
      <alignment horizontal="center" vertical="center"/>
    </xf>
    <xf numFmtId="43" fontId="0" fillId="0" borderId="0" xfId="0" applyNumberFormat="1" applyAlignment="1">
      <alignment horizontal="center" vertical="center"/>
    </xf>
    <xf numFmtId="43" fontId="0" fillId="0" borderId="0" xfId="16" applyAlignment="1">
      <alignment horizontal="center" vertical="center"/>
    </xf>
    <xf numFmtId="2" fontId="5" fillId="4" borderId="58" xfId="23" applyBorder="1" applyAlignment="1">
      <alignment horizontal="center" vertical="center" shrinkToFit="1"/>
    </xf>
    <xf numFmtId="170" fontId="36" fillId="2" borderId="59" xfId="0" applyNumberFormat="1" applyFont="1" applyFill="1" applyBorder="1" applyAlignment="1" applyProtection="1">
      <alignment horizontal="center" vertical="center" shrinkToFit="1"/>
      <protection locked="0"/>
    </xf>
    <xf numFmtId="0" fontId="27" fillId="0" borderId="0" xfId="0" applyFont="1" applyBorder="1" applyAlignment="1">
      <alignment horizontal="left" vertical="center"/>
    </xf>
    <xf numFmtId="0" fontId="2" fillId="0" borderId="9" xfId="0" applyFont="1" applyBorder="1" applyAlignment="1">
      <alignment horizontal="right" vertical="center"/>
    </xf>
    <xf numFmtId="0" fontId="12" fillId="0" borderId="0" xfId="23" applyFont="1" applyAlignment="1">
      <alignment/>
    </xf>
    <xf numFmtId="0" fontId="12" fillId="0" borderId="0" xfId="0" applyFont="1" applyAlignment="1">
      <alignment horizontal="left" vertical="center"/>
    </xf>
    <xf numFmtId="0" fontId="0" fillId="0" borderId="60" xfId="0" applyBorder="1" applyAlignment="1">
      <alignment horizontal="center" vertical="center" wrapText="1"/>
    </xf>
    <xf numFmtId="0" fontId="0" fillId="0" borderId="61" xfId="0" applyBorder="1" applyAlignment="1">
      <alignment horizontal="center" vertical="center"/>
    </xf>
    <xf numFmtId="198" fontId="0" fillId="2" borderId="62" xfId="18" applyNumberFormat="1" applyBorder="1">
      <alignment horizontal="center" vertical="center" shrinkToFit="1"/>
      <protection locked="0"/>
    </xf>
    <xf numFmtId="0" fontId="0" fillId="0" borderId="63" xfId="0" applyBorder="1" applyAlignment="1">
      <alignment horizontal="center" vertical="center"/>
    </xf>
    <xf numFmtId="4" fontId="11" fillId="0" borderId="62" xfId="0" applyNumberFormat="1" applyFont="1" applyBorder="1" applyAlignment="1">
      <alignment horizontal="center" vertical="center" wrapText="1"/>
    </xf>
    <xf numFmtId="0" fontId="22" fillId="0" borderId="24" xfId="0" applyFont="1" applyFill="1" applyBorder="1" applyAlignment="1">
      <alignment horizontal="center" vertical="center" textRotation="90" wrapText="1"/>
    </xf>
    <xf numFmtId="0" fontId="8" fillId="0" borderId="0" xfId="23" applyFont="1" applyAlignment="1">
      <alignment wrapText="1"/>
    </xf>
    <xf numFmtId="3" fontId="0" fillId="6" borderId="11" xfId="0" applyNumberFormat="1" applyFont="1" applyFill="1" applyBorder="1" applyAlignment="1">
      <alignment horizontal="right"/>
    </xf>
    <xf numFmtId="191" fontId="0" fillId="6" borderId="3" xfId="0" applyNumberFormat="1" applyFont="1" applyFill="1" applyBorder="1" applyAlignment="1">
      <alignment horizontal="right" wrapText="1"/>
    </xf>
    <xf numFmtId="191" fontId="0" fillId="6" borderId="3" xfId="0" applyNumberFormat="1" applyFont="1" applyFill="1" applyBorder="1" applyAlignment="1">
      <alignment horizontal="right"/>
    </xf>
    <xf numFmtId="191" fontId="0" fillId="6" borderId="11" xfId="0" applyNumberFormat="1" applyFont="1" applyFill="1" applyBorder="1" applyAlignment="1">
      <alignment horizontal="right"/>
    </xf>
    <xf numFmtId="191" fontId="0" fillId="6" borderId="16" xfId="0" applyNumberFormat="1" applyFont="1" applyFill="1" applyBorder="1" applyAlignment="1">
      <alignment horizontal="right" shrinkToFit="1"/>
    </xf>
    <xf numFmtId="191" fontId="2" fillId="6" borderId="19" xfId="0" applyNumberFormat="1" applyFont="1" applyFill="1" applyBorder="1" applyAlignment="1">
      <alignment horizontal="right"/>
    </xf>
    <xf numFmtId="0" fontId="0" fillId="0" borderId="0" xfId="0" applyFont="1" applyBorder="1" applyAlignment="1">
      <alignment/>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0" fillId="0" borderId="0" xfId="0" applyBorder="1" applyAlignment="1">
      <alignment horizontal="left" vertical="center" indent="1"/>
    </xf>
    <xf numFmtId="0" fontId="0" fillId="0" borderId="8" xfId="0" applyFont="1" applyBorder="1" applyAlignment="1">
      <alignment horizontal="left" vertical="center"/>
    </xf>
    <xf numFmtId="0" fontId="0" fillId="0" borderId="9" xfId="0" applyFont="1" applyBorder="1" applyAlignment="1">
      <alignment horizontal="center" vertical="center"/>
    </xf>
    <xf numFmtId="0" fontId="3" fillId="0" borderId="4" xfId="0" applyFont="1" applyBorder="1" applyAlignment="1">
      <alignment horizontal="center" vertical="center"/>
    </xf>
    <xf numFmtId="0" fontId="0" fillId="0" borderId="5" xfId="0" applyFont="1" applyBorder="1" applyAlignment="1">
      <alignment/>
    </xf>
    <xf numFmtId="0" fontId="3" fillId="0" borderId="6" xfId="0" applyFont="1" applyBorder="1" applyAlignment="1">
      <alignment horizontal="center" vertical="center"/>
    </xf>
    <xf numFmtId="0" fontId="2" fillId="0" borderId="5" xfId="0" applyFont="1" applyBorder="1" applyAlignment="1">
      <alignment horizontal="left" vertical="center"/>
    </xf>
    <xf numFmtId="0" fontId="0" fillId="0" borderId="5" xfId="0" applyBorder="1" applyAlignment="1">
      <alignment horizontal="left" vertical="center" indent="1"/>
    </xf>
    <xf numFmtId="0" fontId="0" fillId="0" borderId="17" xfId="0" applyFont="1" applyBorder="1" applyAlignment="1">
      <alignment/>
    </xf>
    <xf numFmtId="0" fontId="0" fillId="0" borderId="10" xfId="0" applyFont="1" applyBorder="1" applyAlignment="1">
      <alignment horizontal="left" vertical="center"/>
    </xf>
    <xf numFmtId="0" fontId="3" fillId="0" borderId="18" xfId="0" applyFont="1" applyBorder="1" applyAlignment="1">
      <alignment horizontal="center" vertical="center"/>
    </xf>
    <xf numFmtId="9" fontId="0" fillId="0" borderId="0" xfId="0" applyNumberFormat="1" applyAlignment="1">
      <alignment horizontal="center" vertical="center"/>
    </xf>
    <xf numFmtId="4" fontId="0" fillId="2" borderId="1" xfId="19">
      <alignment horizontal="center" vertical="center" shrinkToFit="1"/>
      <protection locked="0"/>
    </xf>
    <xf numFmtId="9" fontId="0" fillId="0" borderId="0" xfId="25" applyAlignment="1">
      <alignment horizontal="center" vertical="center"/>
    </xf>
    <xf numFmtId="0" fontId="39" fillId="0" borderId="0" xfId="0" applyFont="1" applyAlignment="1">
      <alignment horizontal="left" vertical="center"/>
    </xf>
    <xf numFmtId="3" fontId="17" fillId="0" borderId="10" xfId="0" applyNumberFormat="1" applyFont="1" applyBorder="1" applyAlignment="1">
      <alignment horizontal="center" vertical="center"/>
    </xf>
    <xf numFmtId="1" fontId="41" fillId="0" borderId="10" xfId="0" applyNumberFormat="1" applyFont="1" applyBorder="1" applyAlignment="1">
      <alignment horizontal="center" vertical="center"/>
    </xf>
    <xf numFmtId="1" fontId="42" fillId="0" borderId="17" xfId="0" applyNumberFormat="1" applyFont="1" applyBorder="1" applyAlignment="1">
      <alignment horizontal="center" vertical="center"/>
    </xf>
    <xf numFmtId="1" fontId="42" fillId="0" borderId="47" xfId="0" applyNumberFormat="1" applyFont="1" applyBorder="1" applyAlignment="1">
      <alignment horizontal="center" vertical="center"/>
    </xf>
    <xf numFmtId="1" fontId="42" fillId="0" borderId="10" xfId="0" applyNumberFormat="1" applyFont="1" applyBorder="1" applyAlignment="1">
      <alignment horizontal="center" vertical="center"/>
    </xf>
    <xf numFmtId="1" fontId="42" fillId="0" borderId="18" xfId="0" applyNumberFormat="1" applyFont="1" applyBorder="1" applyAlignment="1">
      <alignment horizontal="center" vertical="center"/>
    </xf>
    <xf numFmtId="0" fontId="43" fillId="0" borderId="17" xfId="0" applyFont="1" applyBorder="1" applyAlignment="1">
      <alignment horizontal="center" vertical="center"/>
    </xf>
    <xf numFmtId="0" fontId="43" fillId="0" borderId="10" xfId="0" applyFont="1" applyBorder="1" applyAlignment="1">
      <alignment horizontal="center" vertical="center"/>
    </xf>
    <xf numFmtId="0" fontId="40" fillId="0" borderId="33" xfId="0" applyFont="1" applyBorder="1" applyAlignment="1">
      <alignment horizontal="right" vertical="center"/>
    </xf>
    <xf numFmtId="0" fontId="44" fillId="0" borderId="19" xfId="0" applyFont="1" applyBorder="1" applyAlignment="1">
      <alignment horizontal="right"/>
    </xf>
    <xf numFmtId="3" fontId="44" fillId="6" borderId="19" xfId="0" applyNumberFormat="1" applyFont="1" applyFill="1" applyBorder="1" applyAlignment="1">
      <alignment horizontal="right"/>
    </xf>
    <xf numFmtId="178" fontId="44" fillId="0" borderId="47" xfId="0" applyNumberFormat="1" applyFont="1" applyBorder="1" applyAlignment="1">
      <alignment horizontal="center" vertical="center"/>
    </xf>
    <xf numFmtId="1" fontId="44" fillId="0" borderId="17" xfId="0" applyNumberFormat="1" applyFont="1" applyBorder="1" applyAlignment="1">
      <alignment horizontal="center" vertical="center"/>
    </xf>
    <xf numFmtId="1" fontId="44" fillId="0" borderId="10" xfId="0" applyNumberFormat="1" applyFont="1" applyBorder="1" applyAlignment="1">
      <alignment horizontal="center" vertical="center"/>
    </xf>
    <xf numFmtId="2" fontId="5" fillId="4" borderId="25" xfId="23" applyFont="1" applyBorder="1" applyAlignment="1">
      <alignment horizontal="center" vertical="center" shrinkToFit="1"/>
    </xf>
    <xf numFmtId="2" fontId="5" fillId="4" borderId="64" xfId="23" applyBorder="1" applyAlignment="1">
      <alignment horizontal="center" vertical="center" shrinkToFit="1"/>
    </xf>
    <xf numFmtId="2" fontId="5" fillId="4" borderId="65" xfId="23" applyBorder="1" applyAlignment="1">
      <alignment horizontal="center" vertical="center" shrinkToFit="1"/>
    </xf>
    <xf numFmtId="0" fontId="0" fillId="0" borderId="66" xfId="0" applyBorder="1" applyAlignment="1">
      <alignment horizontal="left" vertical="center"/>
    </xf>
    <xf numFmtId="2" fontId="5" fillId="4" borderId="67" xfId="23" applyBorder="1" applyAlignment="1">
      <alignment horizontal="center" vertical="center" shrinkToFit="1"/>
    </xf>
    <xf numFmtId="0" fontId="0" fillId="0" borderId="49" xfId="0" applyBorder="1" applyAlignment="1">
      <alignment horizontal="left" vertical="center"/>
    </xf>
    <xf numFmtId="4" fontId="0" fillId="2" borderId="68" xfId="19" applyBorder="1">
      <alignment horizontal="center" vertical="center" shrinkToFit="1"/>
      <protection locked="0"/>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0" xfId="0" applyBorder="1" applyAlignment="1">
      <alignment horizontal="right" vertical="center"/>
    </xf>
    <xf numFmtId="10" fontId="0" fillId="2" borderId="71" xfId="19" applyNumberFormat="1" applyBorder="1">
      <alignment horizontal="center" vertical="center" shrinkToFit="1"/>
      <protection locked="0"/>
    </xf>
    <xf numFmtId="4" fontId="0" fillId="0" borderId="70" xfId="0" applyNumberFormat="1" applyFont="1" applyBorder="1" applyAlignment="1">
      <alignment horizontal="center" vertical="center" shrinkToFit="1"/>
    </xf>
    <xf numFmtId="0" fontId="0" fillId="0" borderId="29" xfId="0" applyBorder="1" applyAlignment="1">
      <alignment horizontal="center" vertical="center"/>
    </xf>
    <xf numFmtId="0" fontId="46" fillId="0" borderId="0" xfId="0" applyFont="1" applyAlignment="1">
      <alignment horizontal="center" vertical="center"/>
    </xf>
    <xf numFmtId="0" fontId="10" fillId="0" borderId="41" xfId="0" applyFont="1" applyBorder="1" applyAlignment="1">
      <alignment horizontal="left" vertical="center"/>
    </xf>
    <xf numFmtId="0" fontId="0" fillId="0" borderId="39" xfId="0" applyBorder="1" applyAlignment="1">
      <alignment horizontal="left" vertical="center"/>
    </xf>
    <xf numFmtId="0" fontId="0" fillId="0" borderId="72" xfId="0" applyBorder="1" applyAlignment="1">
      <alignment horizontal="center" vertical="center"/>
    </xf>
    <xf numFmtId="0" fontId="10" fillId="0" borderId="39" xfId="0" applyFont="1" applyBorder="1" applyAlignment="1">
      <alignment horizontal="left" vertical="center"/>
    </xf>
    <xf numFmtId="0" fontId="0" fillId="0" borderId="40" xfId="0" applyBorder="1" applyAlignment="1">
      <alignment horizontal="left" vertical="center"/>
    </xf>
    <xf numFmtId="0" fontId="0" fillId="0" borderId="70" xfId="0" applyBorder="1" applyAlignment="1">
      <alignment horizontal="left" vertical="center"/>
    </xf>
    <xf numFmtId="0" fontId="2" fillId="0" borderId="39" xfId="0" applyFont="1" applyBorder="1" applyAlignment="1">
      <alignment horizontal="left" vertical="center"/>
    </xf>
    <xf numFmtId="0" fontId="47" fillId="0" borderId="0" xfId="0" applyFont="1" applyAlignment="1">
      <alignment horizontal="left" vertical="center"/>
    </xf>
    <xf numFmtId="180" fontId="0" fillId="3" borderId="0" xfId="22" applyAlignment="1">
      <alignment vertical="center"/>
      <protection/>
    </xf>
    <xf numFmtId="179" fontId="0" fillId="0" borderId="0" xfId="0" applyNumberFormat="1" applyFont="1" applyAlignment="1">
      <alignment horizontal="right" vertical="center"/>
    </xf>
    <xf numFmtId="179" fontId="0" fillId="0" borderId="0" xfId="0" applyNumberFormat="1" applyFont="1" applyAlignment="1">
      <alignment vertical="center"/>
    </xf>
    <xf numFmtId="0" fontId="30" fillId="0" borderId="0" xfId="0" applyFont="1" applyAlignment="1">
      <alignment horizontal="left" vertical="center"/>
    </xf>
    <xf numFmtId="0" fontId="5" fillId="0" borderId="0" xfId="23" applyBorder="1" applyAlignment="1">
      <alignment horizontal="left" vertical="center" wrapText="1"/>
    </xf>
    <xf numFmtId="6" fontId="2" fillId="0" borderId="6" xfId="0" applyNumberFormat="1" applyFont="1" applyBorder="1" applyAlignment="1">
      <alignment horizontal="center" vertical="center"/>
    </xf>
    <xf numFmtId="0" fontId="2" fillId="0" borderId="10" xfId="0" applyFont="1" applyBorder="1" applyAlignment="1">
      <alignment horizontal="right" vertical="center"/>
    </xf>
    <xf numFmtId="6" fontId="2" fillId="0" borderId="18" xfId="0" applyNumberFormat="1" applyFont="1" applyBorder="1" applyAlignment="1">
      <alignment horizontal="center" vertical="center"/>
    </xf>
    <xf numFmtId="0" fontId="0" fillId="0" borderId="0" xfId="0" applyAlignment="1">
      <alignment horizontal="center" vertical="center"/>
    </xf>
    <xf numFmtId="6" fontId="0" fillId="0" borderId="6" xfId="0" applyNumberFormat="1" applyBorder="1" applyAlignment="1">
      <alignment horizontal="center" vertical="center"/>
    </xf>
    <xf numFmtId="0" fontId="2" fillId="0" borderId="4" xfId="0" applyFont="1" applyBorder="1" applyAlignment="1">
      <alignment horizontal="right" vertical="center"/>
    </xf>
    <xf numFmtId="0" fontId="49" fillId="0" borderId="5" xfId="0" applyFont="1" applyBorder="1" applyAlignment="1">
      <alignment horizontal="left" vertical="center"/>
    </xf>
    <xf numFmtId="0" fontId="4" fillId="0" borderId="41" xfId="0" applyFont="1" applyBorder="1" applyAlignment="1">
      <alignment horizontal="center" vertical="center"/>
    </xf>
    <xf numFmtId="0" fontId="4" fillId="0" borderId="73" xfId="0" applyFont="1" applyBorder="1" applyAlignment="1">
      <alignment horizontal="center" vertical="center"/>
    </xf>
    <xf numFmtId="0" fontId="4" fillId="0" borderId="5" xfId="0" applyFont="1" applyBorder="1" applyAlignment="1">
      <alignment horizontal="center" vertical="center"/>
    </xf>
    <xf numFmtId="0" fontId="4" fillId="0" borderId="40" xfId="0" applyFont="1" applyBorder="1" applyAlignment="1">
      <alignment horizontal="center" vertical="center"/>
    </xf>
    <xf numFmtId="0" fontId="4" fillId="0" borderId="74" xfId="0" applyFont="1" applyBorder="1" applyAlignment="1">
      <alignment horizontal="center" vertical="center"/>
    </xf>
    <xf numFmtId="6" fontId="12" fillId="6" borderId="75" xfId="0" applyNumberFormat="1" applyFont="1" applyFill="1" applyBorder="1" applyAlignment="1">
      <alignment horizontal="center" wrapText="1"/>
    </xf>
    <xf numFmtId="6" fontId="12" fillId="6" borderId="3" xfId="0" applyNumberFormat="1" applyFont="1" applyFill="1" applyBorder="1" applyAlignment="1">
      <alignment horizontal="center" wrapText="1"/>
    </xf>
    <xf numFmtId="6" fontId="12" fillId="6" borderId="76" xfId="0" applyNumberFormat="1" applyFont="1" applyFill="1" applyBorder="1" applyAlignment="1">
      <alignment horizontal="center" wrapText="1"/>
    </xf>
    <xf numFmtId="6" fontId="12" fillId="6" borderId="77" xfId="0" applyNumberFormat="1" applyFont="1" applyFill="1" applyBorder="1" applyAlignment="1">
      <alignment horizontal="center"/>
    </xf>
    <xf numFmtId="6" fontId="12" fillId="6" borderId="11" xfId="0" applyNumberFormat="1" applyFont="1" applyFill="1" applyBorder="1" applyAlignment="1">
      <alignment horizontal="center"/>
    </xf>
    <xf numFmtId="6" fontId="50" fillId="6" borderId="26" xfId="0" applyNumberFormat="1" applyFont="1" applyFill="1" applyBorder="1" applyAlignment="1">
      <alignment horizontal="center"/>
    </xf>
    <xf numFmtId="0" fontId="2" fillId="0" borderId="78" xfId="0" applyFont="1" applyBorder="1" applyAlignment="1">
      <alignment horizontal="center" vertical="center"/>
    </xf>
    <xf numFmtId="177" fontId="2" fillId="0" borderId="31" xfId="0" applyNumberFormat="1" applyFont="1" applyBorder="1" applyAlignment="1">
      <alignment horizontal="center" vertical="center"/>
    </xf>
    <xf numFmtId="6" fontId="2" fillId="5" borderId="16" xfId="0" applyNumberFormat="1" applyFont="1" applyFill="1" applyBorder="1" applyAlignment="1">
      <alignment horizontal="right" shrinkToFit="1"/>
    </xf>
    <xf numFmtId="178" fontId="0" fillId="0" borderId="0" xfId="0" applyNumberFormat="1" applyBorder="1" applyAlignment="1">
      <alignment horizontal="center" vertical="center"/>
    </xf>
    <xf numFmtId="178" fontId="0" fillId="0" borderId="36" xfId="0" applyNumberFormat="1" applyBorder="1" applyAlignment="1">
      <alignment horizontal="center" vertical="center"/>
    </xf>
    <xf numFmtId="178" fontId="0" fillId="0" borderId="37" xfId="0" applyNumberFormat="1" applyBorder="1" applyAlignment="1">
      <alignment horizontal="center" vertical="center"/>
    </xf>
    <xf numFmtId="3" fontId="1" fillId="0" borderId="79" xfId="0" applyNumberFormat="1" applyFont="1" applyBorder="1" applyAlignment="1">
      <alignment horizontal="right" vertical="center" shrinkToFit="1"/>
    </xf>
    <xf numFmtId="0" fontId="0" fillId="0" borderId="35" xfId="0" applyBorder="1" applyAlignment="1">
      <alignment horizontal="center" vertical="center" textRotation="90" wrapText="1"/>
    </xf>
    <xf numFmtId="41" fontId="0" fillId="0" borderId="0" xfId="17" applyFill="1" applyAlignment="1">
      <alignment horizontal="center" vertical="center"/>
    </xf>
    <xf numFmtId="0" fontId="0" fillId="0" borderId="0" xfId="0" applyFill="1" applyAlignment="1">
      <alignment horizontal="right" vertical="center"/>
    </xf>
    <xf numFmtId="207" fontId="0" fillId="2" borderId="1" xfId="19" applyNumberFormat="1" applyBorder="1" applyAlignment="1">
      <alignment horizontal="right" vertical="center" shrinkToFit="1"/>
      <protection locked="0"/>
    </xf>
    <xf numFmtId="209" fontId="0" fillId="2" borderId="1" xfId="19" applyNumberFormat="1" applyBorder="1" applyAlignment="1">
      <alignment horizontal="right" vertical="center" shrinkToFit="1"/>
      <protection locked="0"/>
    </xf>
    <xf numFmtId="210" fontId="0" fillId="2" borderId="80" xfId="19" applyNumberFormat="1" applyBorder="1" applyAlignment="1">
      <alignment horizontal="right" vertical="center" shrinkToFit="1"/>
      <protection locked="0"/>
    </xf>
    <xf numFmtId="210" fontId="0" fillId="2" borderId="1" xfId="19" applyNumberFormat="1" applyBorder="1" applyAlignment="1">
      <alignment horizontal="right" vertical="center" shrinkToFit="1"/>
      <protection locked="0"/>
    </xf>
    <xf numFmtId="210" fontId="0" fillId="2" borderId="32" xfId="19" applyNumberFormat="1" applyBorder="1" applyAlignment="1">
      <alignment horizontal="right" vertical="center" shrinkToFit="1"/>
      <protection locked="0"/>
    </xf>
    <xf numFmtId="212" fontId="0" fillId="2" borderId="1" xfId="19" applyNumberFormat="1" applyBorder="1" applyAlignment="1">
      <alignment horizontal="right" vertical="center" shrinkToFit="1"/>
      <protection locked="0"/>
    </xf>
    <xf numFmtId="0" fontId="0" fillId="0" borderId="18" xfId="0" applyBorder="1" applyAlignment="1">
      <alignment horizontal="center" vertical="center"/>
    </xf>
    <xf numFmtId="0" fontId="0" fillId="0" borderId="81" xfId="0" applyBorder="1" applyAlignment="1">
      <alignment horizontal="left" vertical="center"/>
    </xf>
    <xf numFmtId="0" fontId="0" fillId="0" borderId="82" xfId="0" applyBorder="1" applyAlignment="1">
      <alignment horizontal="center" vertical="center"/>
    </xf>
    <xf numFmtId="212" fontId="0" fillId="2" borderId="83" xfId="19" applyNumberFormat="1" applyBorder="1" applyAlignment="1">
      <alignment horizontal="right" vertical="center" shrinkToFit="1"/>
      <protection locked="0"/>
    </xf>
    <xf numFmtId="0" fontId="0" fillId="0" borderId="84" xfId="0" applyBorder="1" applyAlignment="1">
      <alignment horizontal="left" vertical="center"/>
    </xf>
    <xf numFmtId="0" fontId="38" fillId="0" borderId="85" xfId="0" applyFont="1" applyBorder="1" applyAlignment="1">
      <alignment horizontal="center" vertical="center"/>
    </xf>
    <xf numFmtId="212" fontId="0" fillId="2" borderId="86" xfId="19" applyNumberFormat="1" applyBorder="1" applyAlignment="1">
      <alignment horizontal="right" vertical="center" shrinkToFit="1"/>
      <protection locked="0"/>
    </xf>
    <xf numFmtId="0" fontId="54" fillId="0" borderId="0" xfId="23" applyFont="1" applyBorder="1" applyAlignment="1">
      <alignment horizontal="left" vertical="center" wrapText="1"/>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30" fillId="0" borderId="88" xfId="0" applyFont="1" applyBorder="1" applyAlignment="1">
      <alignment horizontal="center" vertical="center"/>
    </xf>
    <xf numFmtId="0" fontId="30" fillId="0" borderId="89" xfId="0" applyFont="1" applyBorder="1" applyAlignment="1">
      <alignment horizontal="center" vertical="center"/>
    </xf>
    <xf numFmtId="0" fontId="0" fillId="0" borderId="90" xfId="0" applyBorder="1" applyAlignment="1">
      <alignment horizontal="center" vertical="center"/>
    </xf>
    <xf numFmtId="0" fontId="0" fillId="0" borderId="42" xfId="0" applyBorder="1" applyAlignment="1">
      <alignment horizontal="center" vertical="center"/>
    </xf>
    <xf numFmtId="0" fontId="0" fillId="0" borderId="57" xfId="0" applyBorder="1" applyAlignment="1">
      <alignment horizontal="center" vertical="center"/>
    </xf>
    <xf numFmtId="0" fontId="0" fillId="0" borderId="91" xfId="0" applyBorder="1" applyAlignment="1">
      <alignment horizontal="center" vertical="center"/>
    </xf>
    <xf numFmtId="170" fontId="22" fillId="2" borderId="92" xfId="0" applyNumberFormat="1" applyFont="1" applyFill="1" applyBorder="1" applyAlignment="1">
      <alignment horizontal="left" vertical="center"/>
    </xf>
    <xf numFmtId="170" fontId="53" fillId="2" borderId="93" xfId="0" applyNumberFormat="1" applyFont="1" applyFill="1" applyBorder="1" applyAlignment="1">
      <alignment horizontal="center" vertical="center"/>
    </xf>
    <xf numFmtId="170" fontId="22" fillId="2" borderId="94" xfId="0" applyNumberFormat="1" applyFont="1" applyFill="1" applyBorder="1" applyAlignment="1" applyProtection="1">
      <alignment horizontal="right" vertical="center"/>
      <protection locked="0"/>
    </xf>
    <xf numFmtId="0" fontId="0" fillId="0" borderId="0" xfId="0" applyBorder="1" applyAlignment="1">
      <alignment horizontal="right" vertical="top"/>
    </xf>
    <xf numFmtId="180" fontId="0" fillId="3" borderId="5" xfId="22" applyBorder="1">
      <alignment vertical="center"/>
      <protection/>
    </xf>
    <xf numFmtId="180" fontId="0" fillId="3" borderId="0" xfId="22" applyBorder="1">
      <alignment vertical="center"/>
      <protection/>
    </xf>
    <xf numFmtId="0" fontId="55" fillId="0" borderId="0" xfId="0" applyFont="1" applyAlignment="1">
      <alignment horizontal="left" vertical="center"/>
    </xf>
    <xf numFmtId="0" fontId="0" fillId="0" borderId="0" xfId="0" applyFont="1" applyBorder="1" applyAlignment="1">
      <alignment horizontal="right" vertical="center"/>
    </xf>
    <xf numFmtId="10" fontId="0" fillId="5" borderId="11" xfId="0" applyNumberFormat="1" applyFont="1" applyFill="1" applyBorder="1" applyAlignment="1">
      <alignment horizontal="center"/>
    </xf>
    <xf numFmtId="0" fontId="0" fillId="0" borderId="95" xfId="0" applyBorder="1" applyAlignment="1">
      <alignment horizontal="center" vertical="center"/>
    </xf>
    <xf numFmtId="170" fontId="22" fillId="0" borderId="96" xfId="0" applyNumberFormat="1" applyFont="1" applyFill="1" applyBorder="1" applyAlignment="1">
      <alignment horizontal="right" vertical="center"/>
    </xf>
    <xf numFmtId="4" fontId="2" fillId="0" borderId="0" xfId="0" applyNumberFormat="1" applyFont="1" applyBorder="1" applyAlignment="1">
      <alignment horizontal="right" vertical="center" shrinkToFit="1"/>
    </xf>
    <xf numFmtId="4" fontId="0" fillId="2" borderId="1" xfId="19" applyBorder="1" applyAlignment="1">
      <alignment horizontal="right" vertical="center" shrinkToFit="1"/>
      <protection locked="0"/>
    </xf>
    <xf numFmtId="0" fontId="0" fillId="0" borderId="97" xfId="0" applyBorder="1" applyAlignment="1">
      <alignment horizontal="left" vertical="center"/>
    </xf>
    <xf numFmtId="0" fontId="0" fillId="0" borderId="98" xfId="0" applyBorder="1" applyAlignment="1">
      <alignment horizontal="center" vertical="center"/>
    </xf>
    <xf numFmtId="0" fontId="2" fillId="0" borderId="0" xfId="0" applyFont="1" applyBorder="1" applyAlignment="1">
      <alignment horizontal="center" vertical="top"/>
    </xf>
    <xf numFmtId="0" fontId="2" fillId="0" borderId="0" xfId="0" applyFont="1" applyBorder="1" applyAlignment="1">
      <alignment horizontal="left" vertical="top" wrapText="1"/>
    </xf>
    <xf numFmtId="0" fontId="11" fillId="0" borderId="0" xfId="0" applyNumberFormat="1" applyFont="1" applyBorder="1" applyAlignment="1">
      <alignment horizontal="left" vertical="top" wrapText="1"/>
    </xf>
    <xf numFmtId="0" fontId="25" fillId="0" borderId="99" xfId="0" applyFont="1" applyBorder="1" applyAlignment="1">
      <alignment horizontal="center" vertical="center"/>
    </xf>
    <xf numFmtId="0" fontId="13" fillId="0" borderId="0" xfId="0" applyFont="1" applyBorder="1" applyAlignment="1">
      <alignment horizontal="left" vertical="center"/>
    </xf>
    <xf numFmtId="0" fontId="25" fillId="0" borderId="0" xfId="0" applyFont="1" applyBorder="1" applyAlignment="1">
      <alignment horizontal="left" vertical="top" wrapText="1"/>
    </xf>
    <xf numFmtId="49" fontId="11" fillId="0" borderId="0" xfId="0" applyNumberFormat="1" applyFont="1" applyBorder="1" applyAlignment="1">
      <alignment horizontal="left" vertical="top" wrapText="1"/>
    </xf>
    <xf numFmtId="0" fontId="0" fillId="0" borderId="0" xfId="0" applyBorder="1" applyAlignment="1">
      <alignment horizontal="center" vertical="top"/>
    </xf>
    <xf numFmtId="0" fontId="25" fillId="0" borderId="0" xfId="0" applyFont="1" applyBorder="1" applyAlignment="1">
      <alignment horizontal="center" vertical="top"/>
    </xf>
    <xf numFmtId="0" fontId="25" fillId="0" borderId="0" xfId="0" applyFont="1" applyBorder="1" applyAlignment="1">
      <alignment horizontal="center" vertical="top" wrapText="1"/>
    </xf>
    <xf numFmtId="184" fontId="2" fillId="2" borderId="100" xfId="19" applyNumberFormat="1" applyFont="1" applyBorder="1" applyAlignment="1">
      <alignment horizontal="left" vertical="top" shrinkToFit="1"/>
      <protection locked="0"/>
    </xf>
    <xf numFmtId="0" fontId="25" fillId="0" borderId="0" xfId="0" applyFont="1" applyBorder="1" applyAlignment="1">
      <alignment horizontal="left" vertical="top" wrapText="1"/>
    </xf>
    <xf numFmtId="0" fontId="11" fillId="0" borderId="0" xfId="0" applyFont="1" applyBorder="1" applyAlignment="1">
      <alignment horizontal="left" vertical="top" wrapText="1"/>
    </xf>
    <xf numFmtId="0" fontId="11" fillId="0" borderId="0" xfId="0" applyNumberFormat="1" applyFont="1" applyBorder="1" applyAlignment="1">
      <alignment horizontal="left" vertical="top" wrapText="1"/>
    </xf>
    <xf numFmtId="184" fontId="2" fillId="2" borderId="101" xfId="19" applyNumberFormat="1" applyFont="1" applyBorder="1" applyAlignment="1">
      <alignment horizontal="left" vertical="top" shrinkToFit="1"/>
      <protection locked="0"/>
    </xf>
    <xf numFmtId="184" fontId="2" fillId="2" borderId="102" xfId="19" applyNumberFormat="1" applyFont="1" applyBorder="1" applyAlignment="1">
      <alignment horizontal="left" vertical="top" shrinkToFit="1"/>
      <protection locked="0"/>
    </xf>
    <xf numFmtId="0" fontId="2" fillId="0" borderId="103" xfId="0" applyFont="1" applyBorder="1" applyAlignment="1">
      <alignment horizontal="left" vertical="top"/>
    </xf>
    <xf numFmtId="0" fontId="5" fillId="0" borderId="10" xfId="23" applyBorder="1" applyAlignment="1">
      <alignment horizontal="left" vertical="top"/>
    </xf>
    <xf numFmtId="0" fontId="5" fillId="0" borderId="20" xfId="23" applyBorder="1" applyAlignment="1">
      <alignment horizontal="left" vertical="top"/>
    </xf>
    <xf numFmtId="49" fontId="0" fillId="0" borderId="5" xfId="0" applyNumberFormat="1" applyFont="1" applyBorder="1" applyAlignment="1">
      <alignment horizontal="left" vertical="top"/>
    </xf>
    <xf numFmtId="0" fontId="4" fillId="0" borderId="0" xfId="0" applyFont="1" applyBorder="1" applyAlignment="1">
      <alignment horizontal="left" vertical="top" wrapText="1"/>
    </xf>
    <xf numFmtId="49" fontId="0" fillId="0" borderId="104" xfId="0" applyNumberFormat="1" applyFont="1" applyBorder="1" applyAlignment="1">
      <alignment horizontal="left" vertical="top"/>
    </xf>
    <xf numFmtId="49" fontId="11" fillId="0" borderId="5" xfId="0" applyNumberFormat="1" applyFont="1" applyBorder="1" applyAlignment="1">
      <alignment horizontal="left" vertical="top"/>
    </xf>
    <xf numFmtId="0" fontId="0" fillId="0" borderId="17" xfId="0" applyBorder="1" applyAlignment="1">
      <alignment horizontal="center" vertical="top"/>
    </xf>
    <xf numFmtId="0" fontId="5" fillId="0" borderId="0" xfId="23" applyBorder="1" applyAlignment="1">
      <alignment horizontal="left" vertical="top"/>
    </xf>
    <xf numFmtId="0" fontId="2" fillId="0" borderId="0" xfId="0" applyFont="1" applyBorder="1" applyAlignment="1">
      <alignment horizontal="left" vertical="top"/>
    </xf>
    <xf numFmtId="49" fontId="11" fillId="0" borderId="0" xfId="0" applyNumberFormat="1" applyFont="1" applyBorder="1" applyAlignment="1">
      <alignment horizontal="left" vertical="top"/>
    </xf>
    <xf numFmtId="0" fontId="2" fillId="0" borderId="22" xfId="0" applyFont="1" applyBorder="1" applyAlignment="1">
      <alignment horizontal="right" vertical="top"/>
    </xf>
    <xf numFmtId="0" fontId="0" fillId="0" borderId="105" xfId="0" applyBorder="1" applyAlignment="1">
      <alignment horizontal="right" vertical="top"/>
    </xf>
    <xf numFmtId="0" fontId="0" fillId="0" borderId="29" xfId="0" applyBorder="1" applyAlignment="1">
      <alignment horizontal="right" vertical="top"/>
    </xf>
    <xf numFmtId="0" fontId="16" fillId="0" borderId="106" xfId="0" applyFont="1" applyBorder="1" applyAlignment="1">
      <alignment horizontal="right" vertical="top"/>
    </xf>
    <xf numFmtId="184" fontId="0" fillId="2" borderId="100" xfId="19" applyNumberFormat="1" applyFont="1" applyBorder="1" applyAlignment="1">
      <alignment horizontal="left" vertical="top" shrinkToFit="1"/>
      <protection locked="0"/>
    </xf>
    <xf numFmtId="184" fontId="0" fillId="2" borderId="101" xfId="19" applyNumberFormat="1" applyBorder="1" applyAlignment="1">
      <alignment horizontal="left" vertical="top" shrinkToFit="1"/>
      <protection locked="0"/>
    </xf>
    <xf numFmtId="49" fontId="11" fillId="0" borderId="39" xfId="0" applyNumberFormat="1" applyFont="1" applyBorder="1" applyAlignment="1">
      <alignment horizontal="left" vertical="top" wrapText="1"/>
    </xf>
    <xf numFmtId="0" fontId="0" fillId="0" borderId="0" xfId="0" applyAlignment="1">
      <alignment horizontal="center" vertical="top"/>
    </xf>
    <xf numFmtId="186" fontId="0" fillId="2" borderId="107" xfId="19" applyNumberFormat="1" applyBorder="1" applyAlignment="1">
      <alignment horizontal="center" vertical="top" shrinkToFit="1"/>
      <protection locked="0"/>
    </xf>
    <xf numFmtId="0" fontId="0" fillId="0" borderId="107" xfId="0" applyBorder="1" applyAlignment="1">
      <alignment horizontal="center" vertical="top"/>
    </xf>
    <xf numFmtId="185" fontId="0" fillId="2" borderId="107" xfId="19" applyNumberFormat="1" applyBorder="1" applyAlignment="1">
      <alignment horizontal="center" vertical="top" shrinkToFit="1"/>
      <protection locked="0"/>
    </xf>
    <xf numFmtId="184" fontId="2" fillId="9" borderId="108" xfId="19" applyNumberFormat="1" applyFont="1" applyFill="1" applyBorder="1" applyAlignment="1">
      <alignment horizontal="center" vertical="top" shrinkToFit="1"/>
      <protection locked="0"/>
    </xf>
    <xf numFmtId="49" fontId="11" fillId="0" borderId="0" xfId="0" applyNumberFormat="1" applyFont="1" applyBorder="1" applyAlignment="1">
      <alignment horizontal="left" vertical="top" wrapText="1"/>
    </xf>
    <xf numFmtId="0" fontId="4" fillId="0" borderId="0" xfId="0" applyFont="1" applyBorder="1" applyAlignment="1">
      <alignment horizontal="left" vertical="top" wrapText="1"/>
    </xf>
    <xf numFmtId="49" fontId="0" fillId="0" borderId="0" xfId="0" applyNumberFormat="1" applyFont="1" applyFill="1" applyBorder="1" applyAlignment="1">
      <alignment horizontal="left" vertical="center" wrapText="1"/>
    </xf>
    <xf numFmtId="49" fontId="11" fillId="0" borderId="0" xfId="0" applyNumberFormat="1" applyFont="1" applyBorder="1" applyAlignment="1">
      <alignment horizontal="left" vertical="center" wrapText="1"/>
    </xf>
    <xf numFmtId="0" fontId="25" fillId="0" borderId="0" xfId="0" applyFont="1" applyBorder="1" applyAlignment="1">
      <alignment horizontal="center" vertical="top"/>
    </xf>
    <xf numFmtId="186" fontId="0" fillId="2" borderId="109" xfId="19" applyNumberFormat="1" applyBorder="1" applyAlignment="1">
      <alignment horizontal="center" vertical="top" shrinkToFit="1"/>
      <protection locked="0"/>
    </xf>
    <xf numFmtId="0" fontId="0" fillId="0" borderId="109" xfId="0" applyBorder="1" applyAlignment="1">
      <alignment horizontal="center" vertical="top"/>
    </xf>
    <xf numFmtId="185" fontId="0" fillId="0" borderId="109" xfId="19" applyNumberFormat="1" applyFill="1" applyBorder="1" applyAlignment="1" applyProtection="1">
      <alignment horizontal="center" vertical="top" shrinkToFit="1"/>
      <protection/>
    </xf>
    <xf numFmtId="186" fontId="0" fillId="2" borderId="110" xfId="19" applyNumberFormat="1" applyBorder="1" applyAlignment="1">
      <alignment horizontal="center" vertical="top" shrinkToFit="1"/>
      <protection locked="0"/>
    </xf>
    <xf numFmtId="186" fontId="0" fillId="0" borderId="111" xfId="0" applyNumberFormat="1" applyFont="1" applyBorder="1" applyAlignment="1">
      <alignment horizontal="center" vertical="top" wrapText="1"/>
    </xf>
    <xf numFmtId="49" fontId="11" fillId="0" borderId="111" xfId="0" applyNumberFormat="1" applyFont="1" applyBorder="1" applyAlignment="1">
      <alignment horizontal="left" vertical="top" wrapText="1"/>
    </xf>
    <xf numFmtId="185" fontId="0" fillId="0" borderId="111" xfId="0" applyNumberFormat="1" applyFont="1" applyBorder="1" applyAlignment="1">
      <alignment horizontal="center" vertical="top" wrapText="1"/>
    </xf>
    <xf numFmtId="184" fontId="2" fillId="9" borderId="112" xfId="19" applyNumberFormat="1" applyFont="1" applyFill="1" applyBorder="1" applyAlignment="1">
      <alignment horizontal="center" vertical="top" shrinkToFit="1"/>
      <protection locked="0"/>
    </xf>
    <xf numFmtId="0" fontId="2" fillId="0" borderId="0" xfId="0" applyFont="1" applyFill="1" applyBorder="1" applyAlignment="1">
      <alignment horizontal="center" vertical="top" wrapText="1"/>
    </xf>
    <xf numFmtId="0" fontId="0" fillId="0" borderId="10" xfId="0" applyBorder="1" applyAlignment="1">
      <alignment horizontal="center" vertical="top"/>
    </xf>
    <xf numFmtId="0" fontId="0" fillId="0" borderId="22" xfId="0" applyBorder="1" applyAlignment="1">
      <alignment horizontal="center" vertical="top"/>
    </xf>
    <xf numFmtId="0" fontId="0" fillId="0" borderId="78" xfId="0" applyBorder="1" applyAlignment="1">
      <alignment horizontal="center" vertical="top" wrapText="1"/>
    </xf>
    <xf numFmtId="0" fontId="0" fillId="0" borderId="113" xfId="0" applyBorder="1" applyAlignment="1">
      <alignment horizontal="center" vertical="top" wrapText="1"/>
    </xf>
    <xf numFmtId="0" fontId="0" fillId="0" borderId="39" xfId="0" applyBorder="1" applyAlignment="1">
      <alignment horizontal="center" vertical="top"/>
    </xf>
    <xf numFmtId="0" fontId="0" fillId="0" borderId="114" xfId="0" applyBorder="1" applyAlignment="1">
      <alignment horizontal="center" vertical="top" wrapText="1"/>
    </xf>
    <xf numFmtId="198" fontId="0" fillId="2" borderId="39" xfId="18" applyNumberFormat="1" applyBorder="1" applyAlignment="1">
      <alignment horizontal="center" vertical="top" shrinkToFit="1"/>
      <protection locked="0"/>
    </xf>
    <xf numFmtId="0" fontId="0" fillId="0" borderId="114" xfId="0" applyBorder="1" applyAlignment="1">
      <alignment horizontal="center" vertical="top"/>
    </xf>
    <xf numFmtId="0" fontId="0" fillId="0" borderId="115" xfId="0" applyBorder="1" applyAlignment="1">
      <alignment horizontal="center" vertical="top"/>
    </xf>
    <xf numFmtId="9" fontId="0" fillId="0" borderId="116" xfId="0" applyNumberFormat="1" applyBorder="1" applyAlignment="1">
      <alignment horizontal="center" vertical="top"/>
    </xf>
    <xf numFmtId="9" fontId="0" fillId="2" borderId="117" xfId="18" applyNumberFormat="1" applyBorder="1" applyAlignment="1">
      <alignment horizontal="center" vertical="top" shrinkToFit="1"/>
      <protection locked="0"/>
    </xf>
    <xf numFmtId="0" fontId="0" fillId="0" borderId="116" xfId="0" applyBorder="1" applyAlignment="1">
      <alignment horizontal="center" vertical="top"/>
    </xf>
    <xf numFmtId="167" fontId="0" fillId="2" borderId="76" xfId="18" applyNumberFormat="1" applyBorder="1" applyAlignment="1">
      <alignment horizontal="center" vertical="top" shrinkToFit="1"/>
      <protection locked="0"/>
    </xf>
    <xf numFmtId="4" fontId="11" fillId="0" borderId="114" xfId="0" applyNumberFormat="1" applyFont="1" applyBorder="1" applyAlignment="1">
      <alignment horizontal="center" vertical="top" wrapText="1"/>
    </xf>
    <xf numFmtId="4" fontId="11" fillId="0" borderId="39" xfId="0" applyNumberFormat="1" applyFont="1" applyBorder="1" applyAlignment="1">
      <alignment horizontal="center" vertical="top" wrapText="1"/>
    </xf>
    <xf numFmtId="167" fontId="0" fillId="2" borderId="74" xfId="18" applyNumberFormat="1" applyBorder="1" applyAlignment="1">
      <alignment horizontal="center" vertical="top" shrinkToFit="1"/>
      <protection locked="0"/>
    </xf>
    <xf numFmtId="0" fontId="0" fillId="0" borderId="61" xfId="0" applyBorder="1" applyAlignment="1">
      <alignment horizontal="center" vertical="top"/>
    </xf>
    <xf numFmtId="0" fontId="0" fillId="0" borderId="118" xfId="0" applyBorder="1" applyAlignment="1">
      <alignment horizontal="center" vertical="top"/>
    </xf>
    <xf numFmtId="0" fontId="0" fillId="0" borderId="119" xfId="0" applyBorder="1" applyAlignment="1">
      <alignment horizontal="center" vertical="top"/>
    </xf>
    <xf numFmtId="186" fontId="0" fillId="0" borderId="0" xfId="0" applyNumberFormat="1" applyFont="1" applyBorder="1" applyAlignment="1">
      <alignment horizontal="center" vertical="top" wrapText="1"/>
    </xf>
    <xf numFmtId="185" fontId="0" fillId="0" borderId="0" xfId="0" applyNumberFormat="1" applyFont="1" applyBorder="1" applyAlignment="1">
      <alignment horizontal="center" vertical="top" wrapText="1"/>
    </xf>
    <xf numFmtId="0" fontId="2" fillId="0" borderId="0" xfId="0" applyFont="1" applyBorder="1" applyAlignment="1">
      <alignment vertical="top"/>
    </xf>
    <xf numFmtId="0" fontId="2" fillId="0" borderId="20" xfId="0" applyFont="1" applyBorder="1" applyAlignment="1">
      <alignment vertical="top"/>
    </xf>
    <xf numFmtId="0" fontId="2" fillId="0" borderId="60" xfId="0" applyFont="1" applyBorder="1" applyAlignment="1">
      <alignment horizontal="center" vertical="top"/>
    </xf>
    <xf numFmtId="0" fontId="2" fillId="0" borderId="113" xfId="0" applyFont="1" applyBorder="1" applyAlignment="1">
      <alignment horizontal="center" vertical="top" wrapText="1"/>
    </xf>
    <xf numFmtId="0" fontId="2" fillId="0" borderId="16" xfId="0" applyFont="1" applyBorder="1" applyAlignment="1">
      <alignment horizontal="center" vertical="top" wrapText="1"/>
    </xf>
    <xf numFmtId="0" fontId="2" fillId="0" borderId="60" xfId="0" applyFont="1" applyBorder="1" applyAlignment="1">
      <alignment horizontal="center" vertical="top" wrapText="1"/>
    </xf>
    <xf numFmtId="0" fontId="2" fillId="0" borderId="120" xfId="0" applyFont="1" applyBorder="1" applyAlignment="1">
      <alignment vertical="top"/>
    </xf>
    <xf numFmtId="0" fontId="0" fillId="0" borderId="76" xfId="0" applyBorder="1" applyAlignment="1">
      <alignment horizontal="center" vertical="top"/>
    </xf>
    <xf numFmtId="3" fontId="0" fillId="2" borderId="75" xfId="18" applyBorder="1" applyAlignment="1">
      <alignment horizontal="center" vertical="top" shrinkToFit="1"/>
      <protection locked="0"/>
    </xf>
    <xf numFmtId="3" fontId="0" fillId="2" borderId="3" xfId="18" applyBorder="1" applyAlignment="1">
      <alignment horizontal="center" vertical="top" shrinkToFit="1"/>
      <protection locked="0"/>
    </xf>
    <xf numFmtId="3" fontId="0" fillId="2" borderId="76" xfId="18" applyBorder="1" applyAlignment="1">
      <alignment horizontal="center" vertical="top" shrinkToFit="1"/>
      <protection locked="0"/>
    </xf>
    <xf numFmtId="0" fontId="2" fillId="0" borderId="28" xfId="0" applyFont="1" applyBorder="1" applyAlignment="1">
      <alignment vertical="top"/>
    </xf>
    <xf numFmtId="0" fontId="2" fillId="0" borderId="5" xfId="0" applyFont="1" applyBorder="1" applyAlignment="1">
      <alignment vertical="top"/>
    </xf>
    <xf numFmtId="4" fontId="0" fillId="2" borderId="75" xfId="19" applyBorder="1" applyAlignment="1">
      <alignment horizontal="center" vertical="top" shrinkToFit="1"/>
      <protection locked="0"/>
    </xf>
    <xf numFmtId="4" fontId="0" fillId="2" borderId="3" xfId="19" applyBorder="1" applyAlignment="1">
      <alignment horizontal="center" vertical="top" shrinkToFit="1"/>
      <protection locked="0"/>
    </xf>
    <xf numFmtId="4" fontId="0" fillId="2" borderId="76" xfId="19" applyBorder="1" applyAlignment="1">
      <alignment horizontal="center" vertical="top" shrinkToFit="1"/>
      <protection locked="0"/>
    </xf>
    <xf numFmtId="0" fontId="2" fillId="0" borderId="121" xfId="0" applyFont="1" applyBorder="1" applyAlignment="1">
      <alignment vertical="top"/>
    </xf>
    <xf numFmtId="0" fontId="13" fillId="0" borderId="26" xfId="0" applyFont="1" applyBorder="1" applyAlignment="1">
      <alignment horizontal="center" vertical="top"/>
    </xf>
    <xf numFmtId="4" fontId="16" fillId="0" borderId="77" xfId="0" applyNumberFormat="1" applyFont="1" applyBorder="1" applyAlignment="1">
      <alignment horizontal="center" vertical="top" shrinkToFit="1"/>
    </xf>
    <xf numFmtId="4" fontId="16" fillId="0" borderId="11" xfId="0" applyNumberFormat="1" applyFont="1" applyBorder="1" applyAlignment="1">
      <alignment horizontal="center" vertical="top" shrinkToFit="1"/>
    </xf>
    <xf numFmtId="4" fontId="16" fillId="0" borderId="26" xfId="0" applyNumberFormat="1" applyFont="1" applyBorder="1" applyAlignment="1">
      <alignment horizontal="center" vertical="top" shrinkToFit="1"/>
    </xf>
    <xf numFmtId="0" fontId="13" fillId="0" borderId="0" xfId="0" applyFont="1" applyBorder="1" applyAlignment="1">
      <alignment horizontal="left" vertical="top"/>
    </xf>
    <xf numFmtId="0" fontId="25" fillId="0" borderId="0" xfId="0" applyFont="1" applyBorder="1" applyAlignment="1">
      <alignment horizontal="right" vertical="top" wrapText="1"/>
    </xf>
    <xf numFmtId="185" fontId="0" fillId="2" borderId="122" xfId="19" applyNumberFormat="1" applyBorder="1" applyAlignment="1">
      <alignment horizontal="center" vertical="top" shrinkToFit="1"/>
      <protection locked="0"/>
    </xf>
    <xf numFmtId="185" fontId="0" fillId="2" borderId="109" xfId="19" applyNumberFormat="1" applyBorder="1" applyAlignment="1">
      <alignment horizontal="center" vertical="top" shrinkToFit="1"/>
      <protection locked="0"/>
    </xf>
    <xf numFmtId="184" fontId="2" fillId="9" borderId="123" xfId="19" applyNumberFormat="1" applyFont="1" applyFill="1" applyBorder="1" applyAlignment="1">
      <alignment horizontal="center" vertical="top" shrinkToFit="1"/>
      <protection locked="0"/>
    </xf>
    <xf numFmtId="0" fontId="0" fillId="0" borderId="111" xfId="0" applyBorder="1" applyAlignment="1">
      <alignment horizontal="center" vertical="top"/>
    </xf>
    <xf numFmtId="185" fontId="0" fillId="0" borderId="111" xfId="19" applyNumberFormat="1" applyFill="1" applyBorder="1" applyAlignment="1" applyProtection="1">
      <alignment horizontal="center" vertical="top" shrinkToFit="1"/>
      <protection/>
    </xf>
    <xf numFmtId="2" fontId="45" fillId="4" borderId="38" xfId="23" applyFont="1" applyBorder="1" applyAlignment="1">
      <alignment horizontal="center" vertical="center" shrinkToFit="1"/>
    </xf>
    <xf numFmtId="49" fontId="12" fillId="0" borderId="3" xfId="0" applyNumberFormat="1" applyFont="1" applyBorder="1" applyAlignment="1">
      <alignment horizontal="left" vertical="center" wrapText="1"/>
    </xf>
    <xf numFmtId="0" fontId="5" fillId="0" borderId="0" xfId="23" applyBorder="1" applyAlignment="1">
      <alignment horizontal="center" vertical="center" wrapText="1"/>
    </xf>
    <xf numFmtId="0" fontId="48" fillId="0" borderId="0" xfId="23" applyFont="1" applyBorder="1" applyAlignment="1">
      <alignment horizontal="center" vertical="top" wrapText="1"/>
    </xf>
    <xf numFmtId="179" fontId="56" fillId="0" borderId="0" xfId="0" applyNumberFormat="1" applyFont="1" applyAlignment="1">
      <alignment horizontal="right" vertical="center"/>
    </xf>
    <xf numFmtId="189" fontId="0" fillId="0" borderId="0" xfId="0" applyNumberFormat="1" applyAlignment="1">
      <alignment horizontal="right" vertical="center"/>
    </xf>
    <xf numFmtId="0" fontId="1" fillId="0" borderId="0" xfId="0" applyFont="1" applyAlignment="1">
      <alignment horizontal="center"/>
    </xf>
    <xf numFmtId="0" fontId="57" fillId="0" borderId="0" xfId="0" applyFont="1" applyBorder="1" applyAlignment="1">
      <alignment horizontal="right" vertical="center"/>
    </xf>
    <xf numFmtId="0" fontId="1" fillId="0" borderId="0" xfId="0" applyFont="1" applyAlignment="1">
      <alignment horizontal="center" vertical="center"/>
    </xf>
    <xf numFmtId="0" fontId="58" fillId="0" borderId="0" xfId="0" applyFont="1" applyAlignment="1">
      <alignment horizontal="left" vertical="center"/>
    </xf>
    <xf numFmtId="0" fontId="59" fillId="0" borderId="0" xfId="0" applyFont="1" applyBorder="1" applyAlignment="1">
      <alignment horizontal="left"/>
    </xf>
    <xf numFmtId="0" fontId="4"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wrapText="1"/>
    </xf>
    <xf numFmtId="0" fontId="8" fillId="0" borderId="0" xfId="23" applyFont="1" applyAlignment="1">
      <alignment wrapText="1"/>
    </xf>
    <xf numFmtId="0" fontId="0" fillId="0" borderId="0" xfId="0" applyFont="1" applyAlignment="1">
      <alignment horizontal="left" vertical="center" wrapText="1"/>
    </xf>
    <xf numFmtId="0" fontId="8" fillId="0" borderId="0" xfId="23" applyFont="1" applyAlignment="1">
      <alignment horizontal="center" wrapText="1"/>
    </xf>
    <xf numFmtId="170" fontId="22" fillId="2" borderId="124" xfId="0" applyNumberFormat="1" applyFont="1" applyFill="1" applyBorder="1" applyAlignment="1" applyProtection="1">
      <alignment horizontal="right" vertical="center"/>
      <protection locked="0"/>
    </xf>
    <xf numFmtId="170" fontId="22" fillId="2" borderId="125" xfId="0" applyNumberFormat="1" applyFont="1" applyFill="1" applyBorder="1" applyAlignment="1" applyProtection="1">
      <alignment horizontal="right" vertical="center"/>
      <protection locked="0"/>
    </xf>
    <xf numFmtId="170" fontId="22" fillId="2" borderId="93" xfId="0" applyNumberFormat="1" applyFont="1" applyFill="1" applyBorder="1" applyAlignment="1" applyProtection="1">
      <alignment horizontal="right" vertical="center"/>
      <protection locked="0"/>
    </xf>
    <xf numFmtId="0" fontId="12" fillId="0" borderId="20" xfId="0" applyFont="1" applyBorder="1" applyAlignment="1">
      <alignment horizontal="center" vertical="center"/>
    </xf>
    <xf numFmtId="0" fontId="12" fillId="0" borderId="22" xfId="0" applyFont="1" applyBorder="1" applyAlignment="1">
      <alignment horizontal="center" vertical="center"/>
    </xf>
    <xf numFmtId="0" fontId="12" fillId="0" borderId="126" xfId="0" applyFont="1" applyBorder="1" applyAlignment="1">
      <alignment horizontal="center" vertical="center"/>
    </xf>
    <xf numFmtId="0" fontId="55" fillId="0" borderId="0" xfId="0" applyFont="1" applyAlignment="1">
      <alignment horizontal="center" vertical="center"/>
    </xf>
    <xf numFmtId="0" fontId="2" fillId="0" borderId="0" xfId="0" applyFont="1" applyBorder="1" applyAlignment="1">
      <alignment horizontal="center" vertical="top"/>
    </xf>
    <xf numFmtId="0" fontId="2" fillId="0" borderId="0" xfId="0" applyFont="1" applyBorder="1" applyAlignment="1">
      <alignment horizontal="left" vertical="top" wrapText="1"/>
    </xf>
    <xf numFmtId="49" fontId="11" fillId="0" borderId="9" xfId="0" applyNumberFormat="1" applyFont="1" applyBorder="1" applyAlignment="1">
      <alignment horizontal="left" vertical="center" wrapText="1"/>
    </xf>
    <xf numFmtId="49" fontId="13" fillId="0" borderId="0" xfId="0" applyNumberFormat="1" applyFont="1" applyBorder="1" applyAlignment="1">
      <alignment horizontal="left" vertical="center" wrapText="1"/>
    </xf>
    <xf numFmtId="0" fontId="25" fillId="0" borderId="0" xfId="0" applyFont="1" applyBorder="1" applyAlignment="1">
      <alignment horizontal="center" vertical="top" wrapText="1"/>
    </xf>
  </cellXfs>
  <cellStyles count="14">
    <cellStyle name="Normal" xfId="0"/>
    <cellStyle name="Followed Hyperlink" xfId="15"/>
    <cellStyle name="Comma" xfId="16"/>
    <cellStyle name="Comma [0]" xfId="17"/>
    <cellStyle name="Eingabe0kommastelle" xfId="18"/>
    <cellStyle name="Eingabe2kommastelle" xfId="19"/>
    <cellStyle name="Erg0Stellenkomma" xfId="20"/>
    <cellStyle name="Erg2Stellenkomma" xfId="21"/>
    <cellStyle name="grün" xfId="22"/>
    <cellStyle name="Hyperlink" xfId="23"/>
    <cellStyle name="info" xfId="24"/>
    <cellStyle name="Percent" xfId="25"/>
    <cellStyle name="Currency" xfId="26"/>
    <cellStyle name="Currency [0]" xfId="27"/>
  </cellStyles>
  <dxfs count="4">
    <dxf>
      <font>
        <color rgb="FFFF0000"/>
      </font>
      <border/>
    </dxf>
    <dxf>
      <font>
        <b/>
        <i/>
        <color rgb="FFFF0000"/>
      </font>
      <border/>
    </dxf>
    <dxf>
      <fill>
        <patternFill>
          <bgColor rgb="FFFFFF00"/>
        </patternFill>
      </fill>
      <border/>
    </dxf>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latin typeface="Arial"/>
                <a:ea typeface="Arial"/>
                <a:cs typeface="Arial"/>
              </a:rPr>
              <a:t>Jährliche Salden der Erlöse abzgl. Kosten</a:t>
            </a:r>
          </a:p>
        </c:rich>
      </c:tx>
      <c:layout/>
      <c:spPr>
        <a:noFill/>
        <a:ln>
          <a:noFill/>
        </a:ln>
      </c:spPr>
    </c:title>
    <c:plotArea>
      <c:layout>
        <c:manualLayout>
          <c:xMode val="edge"/>
          <c:yMode val="edge"/>
          <c:x val="0.02575"/>
          <c:y val="0.18875"/>
          <c:w val="0.9725"/>
          <c:h val="0.749"/>
        </c:manualLayout>
      </c:layout>
      <c:barChart>
        <c:barDir val="col"/>
        <c:grouping val="clustered"/>
        <c:varyColors val="0"/>
        <c:ser>
          <c:idx val="0"/>
          <c:order val="0"/>
          <c:tx>
            <c:strRef>
              <c:f>Grafiken!$R$4</c:f>
              <c:strCache>
                <c:ptCount val="1"/>
                <c:pt idx="0">
                  <c:v>Erlöse abzgl. Kosten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Grafiken!$Q$6:$Q$27</c:f>
              <c:numCache/>
            </c:numRef>
          </c:cat>
          <c:val>
            <c:numRef>
              <c:f>Grafiken!$R$6:$R$27</c:f>
              <c:numCache/>
            </c:numRef>
          </c:val>
        </c:ser>
        <c:ser>
          <c:idx val="1"/>
          <c:order val="1"/>
          <c:tx>
            <c:strRef>
              <c:f>Grafiken!$S$4</c:f>
              <c:strCache>
                <c:ptCount val="1"/>
                <c:pt idx="0">
                  <c:v>Barwert Erlöse abzgl. Barwert Kosten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Grafiken!$Q$6:$Q$27</c:f>
              <c:numCache/>
            </c:numRef>
          </c:cat>
          <c:val>
            <c:numRef>
              <c:f>Grafiken!$S$6:$S$27</c:f>
              <c:numCache/>
            </c:numRef>
          </c:val>
        </c:ser>
        <c:axId val="19078710"/>
        <c:axId val="37490663"/>
      </c:barChart>
      <c:catAx>
        <c:axId val="19078710"/>
        <c:scaling>
          <c:orientation val="minMax"/>
        </c:scaling>
        <c:axPos val="b"/>
        <c:title>
          <c:tx>
            <c:rich>
              <a:bodyPr vert="horz" rot="0" anchor="ctr"/>
              <a:lstStyle/>
              <a:p>
                <a:pPr algn="ctr">
                  <a:defRPr/>
                </a:pPr>
                <a:r>
                  <a:rPr lang="en-US" cap="none" sz="1200" b="1" i="0" u="none" baseline="0">
                    <a:latin typeface="Arial"/>
                    <a:ea typeface="Arial"/>
                    <a:cs typeface="Arial"/>
                  </a:rPr>
                  <a:t>Jahre</a:t>
                </a:r>
              </a:p>
            </c:rich>
          </c:tx>
          <c:layout>
            <c:manualLayout>
              <c:xMode val="factor"/>
              <c:yMode val="factor"/>
              <c:x val="-0.00125"/>
              <c:y val="-0.0015"/>
            </c:manualLayout>
          </c:layout>
          <c:overlay val="0"/>
          <c:spPr>
            <a:noFill/>
            <a:ln>
              <a:noFill/>
            </a:ln>
          </c:spPr>
        </c:title>
        <c:delete val="0"/>
        <c:numFmt formatCode="General" sourceLinked="1"/>
        <c:majorTickMark val="out"/>
        <c:minorTickMark val="none"/>
        <c:tickLblPos val="low"/>
        <c:txPr>
          <a:bodyPr/>
          <a:lstStyle/>
          <a:p>
            <a:pPr>
              <a:defRPr lang="en-US" cap="none" sz="1150" b="1" i="0" u="none" baseline="0">
                <a:latin typeface="Arial"/>
                <a:ea typeface="Arial"/>
                <a:cs typeface="Arial"/>
              </a:defRPr>
            </a:pPr>
          </a:p>
        </c:txPr>
        <c:crossAx val="37490663"/>
        <c:crosses val="autoZero"/>
        <c:auto val="1"/>
        <c:lblOffset val="100"/>
        <c:noMultiLvlLbl val="0"/>
      </c:catAx>
      <c:valAx>
        <c:axId val="37490663"/>
        <c:scaling>
          <c:orientation val="minMax"/>
        </c:scaling>
        <c:axPos val="l"/>
        <c:majorGridlines/>
        <c:delete val="0"/>
        <c:numFmt formatCode="#,##0\ &quot;€&quot;;[Red]\-#,##0\ &quot;€&quot;" sourceLinked="0"/>
        <c:majorTickMark val="out"/>
        <c:minorTickMark val="none"/>
        <c:tickLblPos val="nextTo"/>
        <c:txPr>
          <a:bodyPr/>
          <a:lstStyle/>
          <a:p>
            <a:pPr>
              <a:defRPr lang="en-US" cap="none" sz="1150" b="1" i="0" u="none" baseline="0">
                <a:latin typeface="Arial"/>
                <a:ea typeface="Arial"/>
                <a:cs typeface="Arial"/>
              </a:defRPr>
            </a:pPr>
          </a:p>
        </c:txPr>
        <c:crossAx val="19078710"/>
        <c:crossesAt val="1"/>
        <c:crossBetween val="between"/>
        <c:dispUnits/>
      </c:valAx>
      <c:spPr>
        <a:solidFill>
          <a:srgbClr val="FFFFCC"/>
        </a:solidFill>
        <a:ln w="12700">
          <a:solidFill>
            <a:srgbClr val="808080"/>
          </a:solidFill>
        </a:ln>
      </c:spPr>
    </c:plotArea>
    <c:legend>
      <c:legendPos val="r"/>
      <c:layout>
        <c:manualLayout>
          <c:xMode val="edge"/>
          <c:yMode val="edge"/>
          <c:x val="0.18875"/>
          <c:y val="0.13175"/>
          <c:w val="0.733"/>
          <c:h val="0.05675"/>
        </c:manualLayout>
      </c:layout>
      <c:overlay val="0"/>
      <c:spPr>
        <a:solidFill>
          <a:srgbClr val="FFFFCC"/>
        </a:solidFill>
      </c:spPr>
      <c:txPr>
        <a:bodyPr vert="horz" rot="0"/>
        <a:lstStyle/>
        <a:p>
          <a:pPr>
            <a:defRPr lang="en-US" cap="none" sz="1000" b="0" i="0" u="none" baseline="0">
              <a:latin typeface="Arial"/>
              <a:ea typeface="Arial"/>
              <a:cs typeface="Arial"/>
            </a:defRPr>
          </a:pPr>
        </a:p>
      </c:txPr>
    </c:legend>
    <c:plotVisOnly val="1"/>
    <c:dispBlanksAs val="gap"/>
    <c:showDLblsOverMax val="0"/>
  </c:chart>
  <c:spPr>
    <a:solidFill>
      <a:srgbClr val="FFFF99"/>
    </a:solidFill>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latin typeface="Arial"/>
                <a:ea typeface="Arial"/>
                <a:cs typeface="Arial"/>
              </a:rPr>
              <a:t>Aufsummierter Barwert und Amortisation</a:t>
            </a:r>
          </a:p>
        </c:rich>
      </c:tx>
      <c:layout>
        <c:manualLayout>
          <c:xMode val="factor"/>
          <c:yMode val="factor"/>
          <c:x val="0.00575"/>
          <c:y val="-0.0205"/>
        </c:manualLayout>
      </c:layout>
      <c:spPr>
        <a:noFill/>
        <a:ln>
          <a:noFill/>
        </a:ln>
      </c:spPr>
    </c:title>
    <c:plotArea>
      <c:layout>
        <c:manualLayout>
          <c:xMode val="edge"/>
          <c:yMode val="edge"/>
          <c:x val="0"/>
          <c:y val="0.13125"/>
          <c:w val="0.97225"/>
          <c:h val="0.801"/>
        </c:manualLayout>
      </c:layout>
      <c:lineChart>
        <c:grouping val="standard"/>
        <c:varyColors val="0"/>
        <c:ser>
          <c:idx val="0"/>
          <c:order val="0"/>
          <c:tx>
            <c:strRef>
              <c:f>Grafiken!$U$5</c:f>
              <c:strCache>
                <c:ptCount val="1"/>
                <c:pt idx="0">
                  <c:v>aufsummierter Barwert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ot"/>
            <c:size val="7"/>
            <c:spPr>
              <a:solidFill>
                <a:srgbClr val="000080"/>
              </a:solidFill>
              <a:ln>
                <a:solidFill>
                  <a:srgbClr val="000080"/>
                </a:solidFill>
              </a:ln>
            </c:spPr>
          </c:marker>
          <c:cat>
            <c:numRef>
              <c:f>Grafiken!$Q$6:$Q$27</c:f>
              <c:numCache/>
            </c:numRef>
          </c:cat>
          <c:val>
            <c:numRef>
              <c:f>Grafiken!$U$6:$U$27</c:f>
              <c:numCache/>
            </c:numRef>
          </c:val>
          <c:smooth val="0"/>
        </c:ser>
        <c:marker val="1"/>
        <c:axId val="1871648"/>
        <c:axId val="16844833"/>
      </c:lineChart>
      <c:catAx>
        <c:axId val="1871648"/>
        <c:scaling>
          <c:orientation val="minMax"/>
        </c:scaling>
        <c:axPos val="b"/>
        <c:title>
          <c:tx>
            <c:rich>
              <a:bodyPr vert="horz" rot="0" anchor="ctr"/>
              <a:lstStyle/>
              <a:p>
                <a:pPr algn="ctr">
                  <a:defRPr/>
                </a:pPr>
                <a:r>
                  <a:rPr lang="en-US" cap="none" sz="1200" b="1" i="0" u="none" baseline="0">
                    <a:latin typeface="Arial"/>
                    <a:ea typeface="Arial"/>
                    <a:cs typeface="Arial"/>
                  </a:rPr>
                  <a:t>Jahre</a:t>
                </a:r>
              </a:p>
            </c:rich>
          </c:tx>
          <c:layout>
            <c:manualLayout>
              <c:xMode val="factor"/>
              <c:yMode val="factor"/>
              <c:x val="-0.00075"/>
              <c:y val="-0.0015"/>
            </c:manualLayout>
          </c:layout>
          <c:overlay val="0"/>
          <c:spPr>
            <a:noFill/>
            <a:ln>
              <a:noFill/>
            </a:ln>
          </c:spPr>
        </c:title>
        <c:delete val="0"/>
        <c:numFmt formatCode="0" sourceLinked="0"/>
        <c:majorTickMark val="out"/>
        <c:minorTickMark val="none"/>
        <c:tickLblPos val="low"/>
        <c:spPr>
          <a:ln w="25400">
            <a:solidFill>
              <a:srgbClr val="993366"/>
            </a:solidFill>
          </a:ln>
        </c:spPr>
        <c:txPr>
          <a:bodyPr/>
          <a:lstStyle/>
          <a:p>
            <a:pPr>
              <a:defRPr lang="en-US" cap="none" sz="975" b="1" i="0" u="none" baseline="0">
                <a:latin typeface="Arial"/>
                <a:ea typeface="Arial"/>
                <a:cs typeface="Arial"/>
              </a:defRPr>
            </a:pPr>
          </a:p>
        </c:txPr>
        <c:crossAx val="16844833"/>
        <c:crosses val="autoZero"/>
        <c:auto val="1"/>
        <c:lblOffset val="100"/>
        <c:noMultiLvlLbl val="0"/>
      </c:catAx>
      <c:valAx>
        <c:axId val="16844833"/>
        <c:scaling>
          <c:orientation val="minMax"/>
        </c:scaling>
        <c:axPos val="l"/>
        <c:majorGridlines/>
        <c:delete val="0"/>
        <c:numFmt formatCode="#,##0\ &quot;€&quot;;[Red]\-#,##0\ &quot;€&quot;" sourceLinked="0"/>
        <c:majorTickMark val="out"/>
        <c:minorTickMark val="none"/>
        <c:tickLblPos val="nextTo"/>
        <c:txPr>
          <a:bodyPr/>
          <a:lstStyle/>
          <a:p>
            <a:pPr>
              <a:defRPr lang="en-US" cap="none" sz="1075" b="1" i="0" u="none" baseline="0">
                <a:latin typeface="Arial"/>
                <a:ea typeface="Arial"/>
                <a:cs typeface="Arial"/>
              </a:defRPr>
            </a:pPr>
          </a:p>
        </c:txPr>
        <c:crossAx val="1871648"/>
        <c:crossesAt val="1"/>
        <c:crossBetween val="between"/>
        <c:dispUnits/>
      </c:valAx>
      <c:spPr>
        <a:solidFill>
          <a:srgbClr val="FFFFCC"/>
        </a:solidFill>
        <a:ln w="25400">
          <a:solidFill>
            <a:srgbClr val="808080"/>
          </a:solidFill>
        </a:ln>
      </c:spPr>
    </c:plotArea>
    <c:legend>
      <c:legendPos val="r"/>
      <c:layout>
        <c:manualLayout>
          <c:xMode val="edge"/>
          <c:yMode val="edge"/>
          <c:x val="0.297"/>
          <c:y val="0.0935"/>
          <c:w val="0.50075"/>
          <c:h val="0.04675"/>
        </c:manualLayout>
      </c:layout>
      <c:overlay val="0"/>
      <c:spPr>
        <a:solidFill>
          <a:srgbClr val="FFFFCC"/>
        </a:solidFill>
      </c:spPr>
      <c:txPr>
        <a:bodyPr vert="horz" rot="0"/>
        <a:lstStyle/>
        <a:p>
          <a:pPr>
            <a:defRPr lang="en-US" cap="none" sz="1100" b="0" i="0" u="none" baseline="0">
              <a:latin typeface="Arial"/>
              <a:ea typeface="Arial"/>
              <a:cs typeface="Arial"/>
            </a:defRPr>
          </a:pPr>
        </a:p>
      </c:txPr>
    </c:legend>
    <c:plotVisOnly val="1"/>
    <c:dispBlanksAs val="gap"/>
    <c:showDLblsOverMax val="0"/>
  </c:chart>
  <c:spPr>
    <a:solidFill>
      <a:srgbClr val="FFFF99"/>
    </a:solidFill>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w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w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hyperlink" Target="#Berechnungen!N1:O2" /><Relationship Id="rId2"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6</xdr:row>
      <xdr:rowOff>28575</xdr:rowOff>
    </xdr:from>
    <xdr:to>
      <xdr:col>7</xdr:col>
      <xdr:colOff>714375</xdr:colOff>
      <xdr:row>6</xdr:row>
      <xdr:rowOff>238125</xdr:rowOff>
    </xdr:to>
    <xdr:sp>
      <xdr:nvSpPr>
        <xdr:cNvPr id="1" name="AutoShape 1"/>
        <xdr:cNvSpPr>
          <a:spLocks/>
        </xdr:cNvSpPr>
      </xdr:nvSpPr>
      <xdr:spPr>
        <a:xfrm>
          <a:off x="4581525" y="1352550"/>
          <a:ext cx="314325" cy="209550"/>
        </a:xfrm>
        <a:prstGeom prst="striped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142875</xdr:colOff>
      <xdr:row>36</xdr:row>
      <xdr:rowOff>85725</xdr:rowOff>
    </xdr:from>
    <xdr:to>
      <xdr:col>9</xdr:col>
      <xdr:colOff>323850</xdr:colOff>
      <xdr:row>39</xdr:row>
      <xdr:rowOff>123825</xdr:rowOff>
    </xdr:to>
    <xdr:pic>
      <xdr:nvPicPr>
        <xdr:cNvPr id="2" name="Picture 2"/>
        <xdr:cNvPicPr preferRelativeResize="1">
          <a:picLocks noChangeAspect="1"/>
        </xdr:cNvPicPr>
      </xdr:nvPicPr>
      <xdr:blipFill>
        <a:blip r:embed="rId1"/>
        <a:stretch>
          <a:fillRect/>
        </a:stretch>
      </xdr:blipFill>
      <xdr:spPr>
        <a:xfrm>
          <a:off x="5086350" y="7486650"/>
          <a:ext cx="1009650" cy="552450"/>
        </a:xfrm>
        <a:prstGeom prst="rect">
          <a:avLst/>
        </a:prstGeom>
        <a:noFill/>
        <a:ln w="9525" cmpd="sng">
          <a:noFill/>
        </a:ln>
      </xdr:spPr>
    </xdr:pic>
    <xdr:clientData/>
  </xdr:twoCellAnchor>
  <xdr:twoCellAnchor>
    <xdr:from>
      <xdr:col>1</xdr:col>
      <xdr:colOff>28575</xdr:colOff>
      <xdr:row>1</xdr:row>
      <xdr:rowOff>28575</xdr:rowOff>
    </xdr:from>
    <xdr:to>
      <xdr:col>2</xdr:col>
      <xdr:colOff>495300</xdr:colOff>
      <xdr:row>2</xdr:row>
      <xdr:rowOff>57150</xdr:rowOff>
    </xdr:to>
    <xdr:pic>
      <xdr:nvPicPr>
        <xdr:cNvPr id="3" name="Picture 3"/>
        <xdr:cNvPicPr preferRelativeResize="1">
          <a:picLocks noChangeAspect="1"/>
        </xdr:cNvPicPr>
      </xdr:nvPicPr>
      <xdr:blipFill>
        <a:blip r:embed="rId1"/>
        <a:stretch>
          <a:fillRect/>
        </a:stretch>
      </xdr:blipFill>
      <xdr:spPr>
        <a:xfrm>
          <a:off x="161925" y="180975"/>
          <a:ext cx="70485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295275</xdr:colOff>
      <xdr:row>2</xdr:row>
      <xdr:rowOff>142875</xdr:rowOff>
    </xdr:from>
    <xdr:to>
      <xdr:col>6</xdr:col>
      <xdr:colOff>695325</xdr:colOff>
      <xdr:row>2</xdr:row>
      <xdr:rowOff>381000</xdr:rowOff>
    </xdr:to>
    <xdr:sp>
      <xdr:nvSpPr>
        <xdr:cNvPr id="1" name="AutoShape 2"/>
        <xdr:cNvSpPr>
          <a:spLocks/>
        </xdr:cNvSpPr>
      </xdr:nvSpPr>
      <xdr:spPr>
        <a:xfrm>
          <a:off x="4610100" y="295275"/>
          <a:ext cx="400050" cy="238125"/>
        </a:xfrm>
        <a:prstGeom prst="stripedRightArrow">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
          </a:r>
        </a:p>
      </xdr:txBody>
    </xdr:sp>
    <xdr:clientData/>
  </xdr:twoCellAnchor>
  <xdr:twoCellAnchor editAs="oneCell">
    <xdr:from>
      <xdr:col>2</xdr:col>
      <xdr:colOff>200025</xdr:colOff>
      <xdr:row>18</xdr:row>
      <xdr:rowOff>66675</xdr:rowOff>
    </xdr:from>
    <xdr:to>
      <xdr:col>3</xdr:col>
      <xdr:colOff>409575</xdr:colOff>
      <xdr:row>21</xdr:row>
      <xdr:rowOff>38100</xdr:rowOff>
    </xdr:to>
    <xdr:pic>
      <xdr:nvPicPr>
        <xdr:cNvPr id="2" name="Picture 3"/>
        <xdr:cNvPicPr preferRelativeResize="1">
          <a:picLocks noChangeAspect="1"/>
        </xdr:cNvPicPr>
      </xdr:nvPicPr>
      <xdr:blipFill>
        <a:blip r:embed="rId1"/>
        <a:stretch>
          <a:fillRect/>
        </a:stretch>
      </xdr:blipFill>
      <xdr:spPr>
        <a:xfrm>
          <a:off x="1152525" y="3676650"/>
          <a:ext cx="971550" cy="419100"/>
        </a:xfrm>
        <a:prstGeom prst="rect">
          <a:avLst/>
        </a:prstGeom>
        <a:noFill/>
        <a:ln w="9525" cmpd="sng">
          <a:noFill/>
        </a:ln>
      </xdr:spPr>
    </xdr:pic>
    <xdr:clientData/>
  </xdr:twoCellAnchor>
  <xdr:twoCellAnchor editAs="oneCell">
    <xdr:from>
      <xdr:col>5</xdr:col>
      <xdr:colOff>704850</xdr:colOff>
      <xdr:row>18</xdr:row>
      <xdr:rowOff>57150</xdr:rowOff>
    </xdr:from>
    <xdr:to>
      <xdr:col>8</xdr:col>
      <xdr:colOff>266700</xdr:colOff>
      <xdr:row>21</xdr:row>
      <xdr:rowOff>28575</xdr:rowOff>
    </xdr:to>
    <xdr:pic>
      <xdr:nvPicPr>
        <xdr:cNvPr id="3" name="Picture 4"/>
        <xdr:cNvPicPr preferRelativeResize="1">
          <a:picLocks noChangeAspect="1"/>
        </xdr:cNvPicPr>
      </xdr:nvPicPr>
      <xdr:blipFill>
        <a:blip r:embed="rId2"/>
        <a:stretch>
          <a:fillRect/>
        </a:stretch>
      </xdr:blipFill>
      <xdr:spPr>
        <a:xfrm>
          <a:off x="4257675" y="3667125"/>
          <a:ext cx="211455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12</xdr:row>
      <xdr:rowOff>19050</xdr:rowOff>
    </xdr:from>
    <xdr:to>
      <xdr:col>15</xdr:col>
      <xdr:colOff>123825</xdr:colOff>
      <xdr:row>16</xdr:row>
      <xdr:rowOff>180975</xdr:rowOff>
    </xdr:to>
    <xdr:sp>
      <xdr:nvSpPr>
        <xdr:cNvPr id="1" name="AutoShape 29"/>
        <xdr:cNvSpPr>
          <a:spLocks/>
        </xdr:cNvSpPr>
      </xdr:nvSpPr>
      <xdr:spPr>
        <a:xfrm>
          <a:off x="8001000" y="2247900"/>
          <a:ext cx="76200" cy="9239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8</xdr:row>
      <xdr:rowOff>66675</xdr:rowOff>
    </xdr:from>
    <xdr:to>
      <xdr:col>18</xdr:col>
      <xdr:colOff>104775</xdr:colOff>
      <xdr:row>11</xdr:row>
      <xdr:rowOff>104775</xdr:rowOff>
    </xdr:to>
    <xdr:sp>
      <xdr:nvSpPr>
        <xdr:cNvPr id="2" name="AutoShape 31"/>
        <xdr:cNvSpPr>
          <a:spLocks/>
        </xdr:cNvSpPr>
      </xdr:nvSpPr>
      <xdr:spPr>
        <a:xfrm>
          <a:off x="8658225" y="1628775"/>
          <a:ext cx="76200" cy="5143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xdr:row>
      <xdr:rowOff>19050</xdr:rowOff>
    </xdr:from>
    <xdr:to>
      <xdr:col>2</xdr:col>
      <xdr:colOff>723900</xdr:colOff>
      <xdr:row>2</xdr:row>
      <xdr:rowOff>314325</xdr:rowOff>
    </xdr:to>
    <xdr:sp>
      <xdr:nvSpPr>
        <xdr:cNvPr id="3" name="Rectangle 32"/>
        <xdr:cNvSpPr>
          <a:spLocks/>
        </xdr:cNvSpPr>
      </xdr:nvSpPr>
      <xdr:spPr>
        <a:xfrm>
          <a:off x="104775" y="361950"/>
          <a:ext cx="1238250" cy="295275"/>
        </a:xfrm>
        <a:prstGeom prst="rect">
          <a:avLst/>
        </a:prstGeom>
        <a:noFill/>
        <a:ln w="9525" cmpd="sng">
          <a:noFill/>
        </a:ln>
      </xdr:spPr>
      <xdr:txBody>
        <a:bodyPr vertOverflow="clip" wrap="square"/>
        <a:p>
          <a:pPr algn="l">
            <a:defRPr/>
          </a:pPr>
          <a:r>
            <a:rPr lang="en-US" cap="none" sz="800" b="0" i="0" u="none" baseline="0">
              <a:solidFill>
                <a:srgbClr val="FF0000"/>
              </a:solidFill>
              <a:latin typeface="Arial"/>
              <a:ea typeface="Arial"/>
              <a:cs typeface="Arial"/>
            </a:rPr>
            <a:t>Hinweis: gelbe Felder sind Eingabefelder</a:t>
          </a:r>
        </a:p>
      </xdr:txBody>
    </xdr:sp>
    <xdr:clientData fPrintsWithSheet="0"/>
  </xdr:twoCellAnchor>
  <xdr:twoCellAnchor>
    <xdr:from>
      <xdr:col>1</xdr:col>
      <xdr:colOff>76200</xdr:colOff>
      <xdr:row>1</xdr:row>
      <xdr:rowOff>19050</xdr:rowOff>
    </xdr:from>
    <xdr:to>
      <xdr:col>2</xdr:col>
      <xdr:colOff>114300</xdr:colOff>
      <xdr:row>1</xdr:row>
      <xdr:rowOff>285750</xdr:rowOff>
    </xdr:to>
    <xdr:pic>
      <xdr:nvPicPr>
        <xdr:cNvPr id="4" name="Picture 33"/>
        <xdr:cNvPicPr preferRelativeResize="1">
          <a:picLocks noChangeAspect="1"/>
        </xdr:cNvPicPr>
      </xdr:nvPicPr>
      <xdr:blipFill>
        <a:blip r:embed="rId1"/>
        <a:stretch>
          <a:fillRect/>
        </a:stretch>
      </xdr:blipFill>
      <xdr:spPr>
        <a:xfrm>
          <a:off x="152400" y="57150"/>
          <a:ext cx="581025"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104775</xdr:colOff>
      <xdr:row>1</xdr:row>
      <xdr:rowOff>9525</xdr:rowOff>
    </xdr:from>
    <xdr:to>
      <xdr:col>17</xdr:col>
      <xdr:colOff>219075</xdr:colOff>
      <xdr:row>3</xdr:row>
      <xdr:rowOff>38100</xdr:rowOff>
    </xdr:to>
    <xdr:sp>
      <xdr:nvSpPr>
        <xdr:cNvPr id="1" name="AutoShape 7"/>
        <xdr:cNvSpPr>
          <a:spLocks/>
        </xdr:cNvSpPr>
      </xdr:nvSpPr>
      <xdr:spPr>
        <a:xfrm>
          <a:off x="5019675" y="47625"/>
          <a:ext cx="114300" cy="285750"/>
        </a:xfrm>
        <a:prstGeom prst="ben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1</xdr:row>
      <xdr:rowOff>57150</xdr:rowOff>
    </xdr:from>
    <xdr:to>
      <xdr:col>10</xdr:col>
      <xdr:colOff>180975</xdr:colOff>
      <xdr:row>1</xdr:row>
      <xdr:rowOff>209550</xdr:rowOff>
    </xdr:to>
    <xdr:sp>
      <xdr:nvSpPr>
        <xdr:cNvPr id="2" name="AutoShape 144"/>
        <xdr:cNvSpPr>
          <a:spLocks/>
        </xdr:cNvSpPr>
      </xdr:nvSpPr>
      <xdr:spPr>
        <a:xfrm>
          <a:off x="1047750" y="95250"/>
          <a:ext cx="438150" cy="152400"/>
        </a:xfrm>
        <a:prstGeom prst="leftArrow">
          <a:avLst/>
        </a:prstGeom>
        <a:solidFill>
          <a:srgbClr val="FFFFCC"/>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15</xdr:col>
      <xdr:colOff>114300</xdr:colOff>
      <xdr:row>29</xdr:row>
      <xdr:rowOff>85725</xdr:rowOff>
    </xdr:from>
    <xdr:to>
      <xdr:col>15</xdr:col>
      <xdr:colOff>200025</xdr:colOff>
      <xdr:row>34</xdr:row>
      <xdr:rowOff>19050</xdr:rowOff>
    </xdr:to>
    <xdr:sp>
      <xdr:nvSpPr>
        <xdr:cNvPr id="3" name="Line 159"/>
        <xdr:cNvSpPr>
          <a:spLocks/>
        </xdr:cNvSpPr>
      </xdr:nvSpPr>
      <xdr:spPr>
        <a:xfrm>
          <a:off x="4229100" y="5343525"/>
          <a:ext cx="85725" cy="762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0</xdr:rowOff>
    </xdr:from>
    <xdr:to>
      <xdr:col>8</xdr:col>
      <xdr:colOff>0</xdr:colOff>
      <xdr:row>23</xdr:row>
      <xdr:rowOff>0</xdr:rowOff>
    </xdr:to>
    <xdr:graphicFrame>
      <xdr:nvGraphicFramePr>
        <xdr:cNvPr id="1" name="Chart 3"/>
        <xdr:cNvGraphicFramePr/>
      </xdr:nvGraphicFramePr>
      <xdr:xfrm>
        <a:off x="104775" y="57150"/>
        <a:ext cx="5686425" cy="47815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24</xdr:row>
      <xdr:rowOff>0</xdr:rowOff>
    </xdr:from>
    <xdr:to>
      <xdr:col>7</xdr:col>
      <xdr:colOff>742950</xdr:colOff>
      <xdr:row>41</xdr:row>
      <xdr:rowOff>95250</xdr:rowOff>
    </xdr:to>
    <xdr:graphicFrame>
      <xdr:nvGraphicFramePr>
        <xdr:cNvPr id="2" name="Chart 4"/>
        <xdr:cNvGraphicFramePr/>
      </xdr:nvGraphicFramePr>
      <xdr:xfrm>
        <a:off x="76200" y="5000625"/>
        <a:ext cx="5695950" cy="4362450"/>
      </xdr:xfrm>
      <a:graphic>
        <a:graphicData uri="http://schemas.openxmlformats.org/drawingml/2006/chart">
          <c:chart xmlns:c="http://schemas.openxmlformats.org/drawingml/2006/chart" r:id="rId2"/>
        </a:graphicData>
      </a:graphic>
    </xdr:graphicFrame>
    <xdr:clientData/>
  </xdr:twoCellAnchor>
  <xdr:twoCellAnchor>
    <xdr:from>
      <xdr:col>6</xdr:col>
      <xdr:colOff>66675</xdr:colOff>
      <xdr:row>35</xdr:row>
      <xdr:rowOff>0</xdr:rowOff>
    </xdr:from>
    <xdr:to>
      <xdr:col>7</xdr:col>
      <xdr:colOff>219075</xdr:colOff>
      <xdr:row>37</xdr:row>
      <xdr:rowOff>38100</xdr:rowOff>
    </xdr:to>
    <xdr:sp textlink="$Q$32">
      <xdr:nvSpPr>
        <xdr:cNvPr id="3" name="Rectangle 6"/>
        <xdr:cNvSpPr>
          <a:spLocks/>
        </xdr:cNvSpPr>
      </xdr:nvSpPr>
      <xdr:spPr>
        <a:xfrm>
          <a:off x="4333875" y="8296275"/>
          <a:ext cx="914400" cy="3619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Amortisation in 18 Jahren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1</xdr:row>
      <xdr:rowOff>76200</xdr:rowOff>
    </xdr:from>
    <xdr:to>
      <xdr:col>9</xdr:col>
      <xdr:colOff>571500</xdr:colOff>
      <xdr:row>1</xdr:row>
      <xdr:rowOff>285750</xdr:rowOff>
    </xdr:to>
    <xdr:sp>
      <xdr:nvSpPr>
        <xdr:cNvPr id="1" name="AutoShape 1"/>
        <xdr:cNvSpPr>
          <a:spLocks/>
        </xdr:cNvSpPr>
      </xdr:nvSpPr>
      <xdr:spPr>
        <a:xfrm>
          <a:off x="6677025" y="238125"/>
          <a:ext cx="533400" cy="209550"/>
        </a:xfrm>
        <a:prstGeom prst="leftArrow">
          <a:avLst/>
        </a:prstGeom>
        <a:solidFill>
          <a:srgbClr val="FFFFCC"/>
        </a:solid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9525</xdr:colOff>
      <xdr:row>104</xdr:row>
      <xdr:rowOff>285750</xdr:rowOff>
    </xdr:from>
    <xdr:to>
      <xdr:col>2</xdr:col>
      <xdr:colOff>19050</xdr:colOff>
      <xdr:row>107</xdr:row>
      <xdr:rowOff>9525</xdr:rowOff>
    </xdr:to>
    <xdr:sp>
      <xdr:nvSpPr>
        <xdr:cNvPr id="2" name="AutoShape 3">
          <a:hlinkClick r:id="rId1"/>
        </xdr:cNvPr>
        <xdr:cNvSpPr>
          <a:spLocks/>
        </xdr:cNvSpPr>
      </xdr:nvSpPr>
      <xdr:spPr>
        <a:xfrm>
          <a:off x="47625" y="11229975"/>
          <a:ext cx="409575" cy="466725"/>
        </a:xfrm>
        <a:prstGeom prst="stripedRightArrow">
          <a:avLst/>
        </a:prstGeom>
        <a:solidFill>
          <a:srgbClr val="FFFFCC"/>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editAs="oneCell">
    <xdr:from>
      <xdr:col>3</xdr:col>
      <xdr:colOff>28575</xdr:colOff>
      <xdr:row>138</xdr:row>
      <xdr:rowOff>38100</xdr:rowOff>
    </xdr:from>
    <xdr:to>
      <xdr:col>10</xdr:col>
      <xdr:colOff>1457325</xdr:colOff>
      <xdr:row>149</xdr:row>
      <xdr:rowOff>200025</xdr:rowOff>
    </xdr:to>
    <xdr:pic>
      <xdr:nvPicPr>
        <xdr:cNvPr id="3" name="Picture 11"/>
        <xdr:cNvPicPr preferRelativeResize="1">
          <a:picLocks noChangeAspect="1"/>
        </xdr:cNvPicPr>
      </xdr:nvPicPr>
      <xdr:blipFill>
        <a:blip r:embed="rId2"/>
        <a:stretch>
          <a:fillRect/>
        </a:stretch>
      </xdr:blipFill>
      <xdr:spPr>
        <a:xfrm>
          <a:off x="1743075" y="17811750"/>
          <a:ext cx="7153275" cy="30099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lr.baden-wuerttemberg.de/mlr/bro/Kurzumtriebsflaechen.pdf" TargetMode="External" /><Relationship Id="rId2" Type="http://schemas.openxmlformats.org/officeDocument/2006/relationships/hyperlink" Target="javascript:linkTo_UnCryptMailto('ocknvq,Uvghhgp0MckugtBnvb0dyn0fg');" TargetMode="External" /><Relationship Id="rId3" Type="http://schemas.openxmlformats.org/officeDocument/2006/relationships/hyperlink" Target="javascript:linkTo_UnCryptMailto('ocknvq,Ocz0VjkgnBnvb0dyn0fg');" TargetMode="External" /><Relationship Id="rId4" Type="http://schemas.openxmlformats.org/officeDocument/2006/relationships/hyperlink" Target="http://www.ltz-augustenberg.de/" TargetMode="External" /><Relationship Id="rId5" Type="http://schemas.openxmlformats.org/officeDocument/2006/relationships/hyperlink" Target="http://www.fva-bw.de/" TargetMode="External" /><Relationship Id="rId6" Type="http://schemas.openxmlformats.org/officeDocument/2006/relationships/hyperlink" Target="http://landwirtschaft.bwl.de/servlet/PB/menu/1232384/index.html" TargetMode="External" /><Relationship Id="rId7" Type="http://schemas.openxmlformats.org/officeDocument/2006/relationships/hyperlink" Target="http://www.carmen-ev.de/" TargetMode="External" /><Relationship Id="rId8" Type="http://schemas.openxmlformats.org/officeDocument/2006/relationships/hyperlink" Target="http://www.agrowood.de/" TargetMode="External" /><Relationship Id="rId9" Type="http://schemas.openxmlformats.org/officeDocument/2006/relationships/hyperlink" Target="http://www.nachwachsenderohstoffe.de/" TargetMode="External" /><Relationship Id="rId10" Type="http://schemas.openxmlformats.org/officeDocument/2006/relationships/hyperlink" Target="http://www.kup-netzwerk.info/de/start.html" TargetMode="External" /><Relationship Id="rId11" Type="http://schemas.openxmlformats.org/officeDocument/2006/relationships/hyperlink" Target="http://www.hero-hessen.de/" TargetMode="External" /><Relationship Id="rId12" Type="http://schemas.openxmlformats.org/officeDocument/2006/relationships/hyperlink" Target="http://www.schnellwachsendebaumarten.de/" TargetMode="External" /><Relationship Id="rId13" Type="http://schemas.openxmlformats.org/officeDocument/2006/relationships/hyperlink" Target="http://www.landwirtschaft.sachsen.de/landwirtschaft/7099.htm" TargetMode="External" /><Relationship Id="rId14" Type="http://schemas.openxmlformats.org/officeDocument/2006/relationships/hyperlink" Target="http://www.thueringen.de/de/tll/pflanzenproduktion/bioenergie/" TargetMode="External" /><Relationship Id="rId15" Type="http://schemas.openxmlformats.org/officeDocument/2006/relationships/hyperlink" Target="http://www.duesse.de/znr/dokumentation/2009-06-18-kurzumtriebsplantagen.htm" TargetMode="External" /><Relationship Id="rId16" Type="http://schemas.openxmlformats.org/officeDocument/2006/relationships/drawing" Target="../drawings/drawing2.xm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landwirtschaft.bwl.de/servlet/PB/menu/1035162_l1/index1215773518694.html?showOnlyChilds=true&amp;showChildsFor=1035162" TargetMode="External" /><Relationship Id="rId2" Type="http://schemas.openxmlformats.org/officeDocument/2006/relationships/hyperlink" Target="http://www.carmen-ev.de/" TargetMode="External" /><Relationship Id="rId3" Type="http://schemas.openxmlformats.org/officeDocument/2006/relationships/comments" Target="../comments6.xml" /><Relationship Id="rId4" Type="http://schemas.openxmlformats.org/officeDocument/2006/relationships/oleObject" Target="../embeddings/oleObject_5_0.bin" /><Relationship Id="rId5" Type="http://schemas.openxmlformats.org/officeDocument/2006/relationships/vmlDrawing" Target="../drawings/vmlDrawing3.vml" /><Relationship Id="rId6" Type="http://schemas.openxmlformats.org/officeDocument/2006/relationships/drawing" Target="../drawings/drawing6.xml" /><Relationship Id="rId7"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4"/>
  <dimension ref="A1:R52"/>
  <sheetViews>
    <sheetView showGridLines="0" tabSelected="1" workbookViewId="0" topLeftCell="A1">
      <pane ySplit="3" topLeftCell="BM4" activePane="bottomLeft" state="frozen"/>
      <selection pane="topLeft" activeCell="G2" sqref="G2"/>
      <selection pane="bottomLeft" activeCell="A1" sqref="A1"/>
    </sheetView>
  </sheetViews>
  <sheetFormatPr defaultColWidth="11.421875" defaultRowHeight="12.75"/>
  <cols>
    <col min="1" max="1" width="2.00390625" style="0" customWidth="1"/>
    <col min="2" max="2" width="3.57421875" style="0" customWidth="1"/>
    <col min="9" max="9" width="12.421875" style="0" customWidth="1"/>
    <col min="10" max="10" width="6.421875" style="0" customWidth="1"/>
    <col min="11" max="11" width="1.57421875" style="0" customWidth="1"/>
  </cols>
  <sheetData>
    <row r="1" spans="1:11" ht="12" customHeight="1">
      <c r="A1" s="46"/>
      <c r="B1" s="46"/>
      <c r="C1" s="46"/>
      <c r="D1" s="46"/>
      <c r="E1" s="46"/>
      <c r="F1" s="46"/>
      <c r="G1" s="46"/>
      <c r="H1" s="46"/>
      <c r="I1" s="46"/>
      <c r="J1" s="46"/>
      <c r="K1" s="46"/>
    </row>
    <row r="2" spans="1:11" s="280" customFormat="1" ht="27.75">
      <c r="A2" s="272"/>
      <c r="D2" s="271" t="s">
        <v>367</v>
      </c>
      <c r="E2" s="263"/>
      <c r="G2" s="448" t="s">
        <v>368</v>
      </c>
      <c r="H2" s="273" t="s">
        <v>108</v>
      </c>
      <c r="I2" s="274">
        <v>40518</v>
      </c>
      <c r="J2" s="263"/>
      <c r="K2" s="272"/>
    </row>
    <row r="3" spans="1:11" ht="6" customHeight="1">
      <c r="A3" s="46"/>
      <c r="B3" s="45"/>
      <c r="K3" s="46"/>
    </row>
    <row r="4" spans="1:11" ht="19.5" customHeight="1">
      <c r="A4" s="46"/>
      <c r="B4" s="45" t="s">
        <v>366</v>
      </c>
      <c r="K4" s="46"/>
    </row>
    <row r="5" spans="1:11" ht="12.75" customHeight="1">
      <c r="A5" s="46"/>
      <c r="B5" s="455" t="s">
        <v>378</v>
      </c>
      <c r="C5" s="455"/>
      <c r="D5" s="455"/>
      <c r="E5" s="455"/>
      <c r="F5" s="455"/>
      <c r="G5" s="455"/>
      <c r="H5" s="455"/>
      <c r="I5" s="455"/>
      <c r="J5" s="17"/>
      <c r="K5" s="46"/>
    </row>
    <row r="6" spans="1:11" ht="26.25" customHeight="1">
      <c r="A6" s="46"/>
      <c r="B6" s="455" t="s">
        <v>400</v>
      </c>
      <c r="C6" s="455"/>
      <c r="D6" s="455"/>
      <c r="E6" s="455"/>
      <c r="F6" s="455"/>
      <c r="G6" s="455"/>
      <c r="H6" s="455"/>
      <c r="I6" s="455"/>
      <c r="J6" s="17"/>
      <c r="K6" s="46"/>
    </row>
    <row r="7" spans="1:11" ht="19.5" customHeight="1">
      <c r="A7" s="46"/>
      <c r="B7" s="17"/>
      <c r="C7" s="17"/>
      <c r="D7" s="17"/>
      <c r="E7" s="17"/>
      <c r="F7" s="17"/>
      <c r="G7" s="17"/>
      <c r="H7" s="17"/>
      <c r="I7" s="276" t="s">
        <v>365</v>
      </c>
      <c r="J7" s="17"/>
      <c r="K7" s="46"/>
    </row>
    <row r="8" spans="1:11" ht="19.5" customHeight="1">
      <c r="A8" s="46"/>
      <c r="B8" s="45" t="s">
        <v>359</v>
      </c>
      <c r="C8" s="17"/>
      <c r="D8" s="17"/>
      <c r="E8" s="17"/>
      <c r="F8" s="17"/>
      <c r="G8" s="17"/>
      <c r="H8" s="17"/>
      <c r="I8" s="17"/>
      <c r="J8" s="17"/>
      <c r="K8" s="46"/>
    </row>
    <row r="9" spans="1:11" ht="15" customHeight="1">
      <c r="A9" s="46"/>
      <c r="B9" s="455" t="s">
        <v>361</v>
      </c>
      <c r="C9" s="455"/>
      <c r="D9" s="455"/>
      <c r="E9" s="455"/>
      <c r="F9" s="455"/>
      <c r="G9" s="455"/>
      <c r="H9" s="455"/>
      <c r="I9" s="455"/>
      <c r="J9" s="17"/>
      <c r="K9" s="46"/>
    </row>
    <row r="10" spans="1:11" ht="13.5" customHeight="1">
      <c r="A10" s="46"/>
      <c r="B10" s="455" t="s">
        <v>362</v>
      </c>
      <c r="C10" s="455"/>
      <c r="D10" s="455"/>
      <c r="E10" s="455"/>
      <c r="F10" s="455"/>
      <c r="G10" s="455"/>
      <c r="H10" s="455"/>
      <c r="I10" s="455"/>
      <c r="J10" s="17"/>
      <c r="K10" s="46"/>
    </row>
    <row r="11" spans="1:11" ht="9" customHeight="1" hidden="1">
      <c r="A11" s="46"/>
      <c r="B11" s="455"/>
      <c r="C11" s="455"/>
      <c r="D11" s="455"/>
      <c r="E11" s="455"/>
      <c r="F11" s="455"/>
      <c r="G11" s="455"/>
      <c r="H11" s="455"/>
      <c r="I11" s="455"/>
      <c r="J11" s="17"/>
      <c r="K11" s="46"/>
    </row>
    <row r="12" spans="1:11" ht="28.5" customHeight="1">
      <c r="A12" s="46"/>
      <c r="B12" s="45" t="s">
        <v>360</v>
      </c>
      <c r="C12" s="45"/>
      <c r="D12" s="45"/>
      <c r="E12" s="45"/>
      <c r="F12" s="45"/>
      <c r="G12" s="45"/>
      <c r="H12" s="45"/>
      <c r="I12" s="45"/>
      <c r="J12" s="17"/>
      <c r="K12" s="46"/>
    </row>
    <row r="13" spans="1:18" ht="19.5" customHeight="1">
      <c r="A13" s="46"/>
      <c r="B13" s="17"/>
      <c r="C13" s="455" t="s">
        <v>289</v>
      </c>
      <c r="D13" s="455"/>
      <c r="E13" s="455"/>
      <c r="F13" s="455"/>
      <c r="G13" s="455"/>
      <c r="H13" s="455"/>
      <c r="I13" s="455"/>
      <c r="J13" s="192"/>
      <c r="K13" s="46"/>
      <c r="L13" s="455"/>
      <c r="M13" s="455"/>
      <c r="N13" s="455"/>
      <c r="O13" s="455"/>
      <c r="P13" s="455"/>
      <c r="Q13" s="455"/>
      <c r="R13" s="455"/>
    </row>
    <row r="14" spans="1:18" ht="27.75" customHeight="1">
      <c r="A14" s="46"/>
      <c r="B14" s="17"/>
      <c r="C14" s="455" t="s">
        <v>283</v>
      </c>
      <c r="D14" s="455"/>
      <c r="E14" s="455"/>
      <c r="F14" s="455"/>
      <c r="G14" s="455"/>
      <c r="H14" s="455"/>
      <c r="I14" s="455"/>
      <c r="J14" s="100" t="s">
        <v>145</v>
      </c>
      <c r="K14" s="46"/>
      <c r="L14" s="455"/>
      <c r="M14" s="455"/>
      <c r="N14" s="455"/>
      <c r="O14" s="455"/>
      <c r="P14" s="455"/>
      <c r="Q14" s="455"/>
      <c r="R14" s="455"/>
    </row>
    <row r="15" spans="1:18" ht="6.75" customHeight="1">
      <c r="A15" s="46"/>
      <c r="B15" s="17"/>
      <c r="C15" s="17"/>
      <c r="D15" s="17"/>
      <c r="E15" s="17"/>
      <c r="F15" s="17"/>
      <c r="G15" s="17"/>
      <c r="H15" s="17"/>
      <c r="I15" s="17"/>
      <c r="K15" s="46"/>
      <c r="L15" s="17"/>
      <c r="M15" s="17"/>
      <c r="N15" s="17"/>
      <c r="O15" s="17"/>
      <c r="P15" s="17"/>
      <c r="Q15" s="17"/>
      <c r="R15" s="17"/>
    </row>
    <row r="16" spans="1:18" ht="18.75" customHeight="1">
      <c r="A16" s="46"/>
      <c r="B16" s="17"/>
      <c r="C16" s="455" t="s">
        <v>241</v>
      </c>
      <c r="D16" s="455"/>
      <c r="E16" s="455"/>
      <c r="F16" s="455"/>
      <c r="G16" s="455"/>
      <c r="H16" s="455"/>
      <c r="I16" s="455"/>
      <c r="J16" s="100" t="s">
        <v>145</v>
      </c>
      <c r="K16" s="46"/>
      <c r="L16" s="455"/>
      <c r="M16" s="455"/>
      <c r="N16" s="455"/>
      <c r="O16" s="455"/>
      <c r="P16" s="455"/>
      <c r="Q16" s="455"/>
      <c r="R16" s="455"/>
    </row>
    <row r="17" spans="1:18" ht="3.75" customHeight="1">
      <c r="A17" s="46"/>
      <c r="B17" s="17"/>
      <c r="C17" s="17"/>
      <c r="D17" s="17"/>
      <c r="E17" s="17"/>
      <c r="F17" s="17"/>
      <c r="G17" s="17"/>
      <c r="H17" s="17"/>
      <c r="I17" s="17"/>
      <c r="K17" s="46"/>
      <c r="L17" s="17"/>
      <c r="M17" s="17"/>
      <c r="N17" s="17"/>
      <c r="O17" s="17"/>
      <c r="P17" s="17"/>
      <c r="Q17" s="17"/>
      <c r="R17" s="17"/>
    </row>
    <row r="18" spans="1:11" ht="17.25" customHeight="1">
      <c r="A18" s="46"/>
      <c r="C18" s="455" t="s">
        <v>242</v>
      </c>
      <c r="D18" s="455"/>
      <c r="E18" s="455"/>
      <c r="F18" s="455"/>
      <c r="G18" s="455"/>
      <c r="H18" s="455"/>
      <c r="I18" s="455"/>
      <c r="J18" s="100" t="s">
        <v>145</v>
      </c>
      <c r="K18" s="46"/>
    </row>
    <row r="19" spans="1:11" ht="5.25" customHeight="1">
      <c r="A19" s="46"/>
      <c r="C19" s="17"/>
      <c r="D19" s="17"/>
      <c r="E19" s="17"/>
      <c r="F19" s="17"/>
      <c r="G19" s="17"/>
      <c r="H19" s="17"/>
      <c r="I19" s="17"/>
      <c r="K19" s="46"/>
    </row>
    <row r="20" spans="1:11" ht="17.25" customHeight="1">
      <c r="A20" s="46"/>
      <c r="C20" s="455" t="s">
        <v>284</v>
      </c>
      <c r="D20" s="455"/>
      <c r="E20" s="455"/>
      <c r="F20" s="455"/>
      <c r="G20" s="455"/>
      <c r="H20" s="455"/>
      <c r="I20" s="455"/>
      <c r="J20" s="100" t="s">
        <v>145</v>
      </c>
      <c r="K20" s="46"/>
    </row>
    <row r="21" spans="1:11" ht="42.75" customHeight="1">
      <c r="A21" s="46"/>
      <c r="B21" s="17"/>
      <c r="C21" s="455" t="s">
        <v>285</v>
      </c>
      <c r="D21" s="455"/>
      <c r="E21" s="455"/>
      <c r="F21" s="455"/>
      <c r="G21" s="455"/>
      <c r="H21" s="455"/>
      <c r="I21" s="455"/>
      <c r="J21" s="17"/>
      <c r="K21" s="46"/>
    </row>
    <row r="22" spans="1:11" ht="38.25" customHeight="1">
      <c r="A22" s="46"/>
      <c r="B22" s="17"/>
      <c r="C22" s="455" t="s">
        <v>379</v>
      </c>
      <c r="D22" s="455"/>
      <c r="E22" s="455"/>
      <c r="F22" s="455"/>
      <c r="G22" s="455"/>
      <c r="H22" s="455"/>
      <c r="I22" s="455"/>
      <c r="J22" s="17"/>
      <c r="K22" s="46"/>
    </row>
    <row r="23" spans="1:11" ht="11.25" customHeight="1">
      <c r="A23" s="46"/>
      <c r="K23" s="46"/>
    </row>
    <row r="24" spans="1:11" ht="15" customHeight="1">
      <c r="A24" s="46"/>
      <c r="B24" s="45" t="s">
        <v>157</v>
      </c>
      <c r="C24" s="45"/>
      <c r="D24" s="45"/>
      <c r="E24" s="45"/>
      <c r="F24" s="45"/>
      <c r="G24" s="45"/>
      <c r="H24" s="45"/>
      <c r="I24" s="45"/>
      <c r="J24" s="45"/>
      <c r="K24" s="46"/>
    </row>
    <row r="25" spans="1:11" ht="6.75" customHeight="1">
      <c r="A25" s="46"/>
      <c r="K25" s="46"/>
    </row>
    <row r="26" spans="1:11" ht="16.5" customHeight="1">
      <c r="A26" s="46"/>
      <c r="C26" s="455" t="s">
        <v>286</v>
      </c>
      <c r="D26" s="455"/>
      <c r="E26" s="455"/>
      <c r="F26" s="455"/>
      <c r="G26" s="455"/>
      <c r="H26" s="455"/>
      <c r="I26" s="455"/>
      <c r="J26" s="17"/>
      <c r="K26" s="46"/>
    </row>
    <row r="27" spans="1:11" ht="16.5" customHeight="1">
      <c r="A27" s="46"/>
      <c r="C27" s="455" t="s">
        <v>287</v>
      </c>
      <c r="D27" s="455"/>
      <c r="E27" s="455"/>
      <c r="F27" s="455"/>
      <c r="G27" s="455"/>
      <c r="H27" s="455"/>
      <c r="I27" s="455"/>
      <c r="J27" s="17"/>
      <c r="K27" s="46"/>
    </row>
    <row r="28" spans="1:11" ht="15" customHeight="1">
      <c r="A28" s="46"/>
      <c r="B28" s="121"/>
      <c r="C28" s="122" t="s">
        <v>175</v>
      </c>
      <c r="I28" s="22"/>
      <c r="K28" s="46"/>
    </row>
    <row r="29" spans="1:11" ht="15" customHeight="1">
      <c r="A29" s="46"/>
      <c r="C29" s="455" t="s">
        <v>176</v>
      </c>
      <c r="D29" s="455"/>
      <c r="E29" s="455"/>
      <c r="F29" s="455"/>
      <c r="G29" s="455"/>
      <c r="H29" s="455"/>
      <c r="I29" s="455"/>
      <c r="K29" s="46"/>
    </row>
    <row r="30" spans="1:11" ht="12.75">
      <c r="A30" s="46"/>
      <c r="C30" s="1" t="s">
        <v>158</v>
      </c>
      <c r="I30" s="100" t="s">
        <v>159</v>
      </c>
      <c r="K30" s="46"/>
    </row>
    <row r="31" spans="1:11" ht="12.75">
      <c r="A31" s="46"/>
      <c r="C31" s="1" t="s">
        <v>177</v>
      </c>
      <c r="K31" s="46"/>
    </row>
    <row r="32" spans="1:11" ht="12.75">
      <c r="A32" s="46"/>
      <c r="C32" s="1" t="s">
        <v>288</v>
      </c>
      <c r="K32" s="46"/>
    </row>
    <row r="33" spans="1:11" ht="12.75">
      <c r="A33" s="46"/>
      <c r="C33" s="275" t="s">
        <v>363</v>
      </c>
      <c r="K33" s="46"/>
    </row>
    <row r="34" spans="1:11" ht="12.75">
      <c r="A34" s="46"/>
      <c r="C34" s="275" t="s">
        <v>364</v>
      </c>
      <c r="K34" s="46"/>
    </row>
    <row r="35" spans="1:11" ht="12.75">
      <c r="A35" s="46"/>
      <c r="B35" s="46"/>
      <c r="C35" s="46"/>
      <c r="D35" s="46"/>
      <c r="E35" s="46"/>
      <c r="F35" s="46"/>
      <c r="G35" s="46"/>
      <c r="H35" s="46"/>
      <c r="I35" s="46"/>
      <c r="J35" s="46"/>
      <c r="K35" s="46"/>
    </row>
    <row r="37" spans="2:10" ht="15">
      <c r="B37" s="264" t="s">
        <v>372</v>
      </c>
      <c r="C37" s="255"/>
      <c r="D37" s="175"/>
      <c r="E37" s="175"/>
      <c r="F37" s="175"/>
      <c r="G37" s="175"/>
      <c r="H37" s="175"/>
      <c r="I37" s="175"/>
      <c r="J37" s="257"/>
    </row>
    <row r="38" spans="2:10" ht="12.75">
      <c r="B38" s="265" t="s">
        <v>350</v>
      </c>
      <c r="C38" s="98"/>
      <c r="D38" s="18"/>
      <c r="E38" s="18"/>
      <c r="F38" s="18"/>
      <c r="G38" s="18"/>
      <c r="H38" s="18"/>
      <c r="I38" s="18"/>
      <c r="J38" s="266"/>
    </row>
    <row r="39" spans="2:10" ht="12.75">
      <c r="B39" s="265" t="s">
        <v>351</v>
      </c>
      <c r="C39" s="98"/>
      <c r="D39" s="18"/>
      <c r="E39" s="18"/>
      <c r="F39" s="18"/>
      <c r="G39" s="18"/>
      <c r="H39" s="18"/>
      <c r="I39" s="18"/>
      <c r="J39" s="266"/>
    </row>
    <row r="40" spans="2:10" ht="12.75">
      <c r="B40" s="265" t="s">
        <v>352</v>
      </c>
      <c r="C40" s="98"/>
      <c r="D40" s="18"/>
      <c r="E40" s="18"/>
      <c r="F40" s="18"/>
      <c r="G40" s="18"/>
      <c r="H40" s="18"/>
      <c r="I40" s="18"/>
      <c r="J40" s="266"/>
    </row>
    <row r="41" spans="2:10" ht="12.75">
      <c r="B41" s="265" t="s">
        <v>380</v>
      </c>
      <c r="C41" s="98"/>
      <c r="D41" s="18"/>
      <c r="E41" s="18"/>
      <c r="F41" s="18"/>
      <c r="G41" s="18"/>
      <c r="H41" s="18"/>
      <c r="I41" s="18"/>
      <c r="J41" s="266"/>
    </row>
    <row r="42" spans="2:10" ht="6.75" customHeight="1">
      <c r="B42" s="265"/>
      <c r="C42" s="98"/>
      <c r="D42" s="18"/>
      <c r="E42" s="18"/>
      <c r="F42" s="18"/>
      <c r="G42" s="18"/>
      <c r="H42" s="18"/>
      <c r="I42" s="18"/>
      <c r="J42" s="266"/>
    </row>
    <row r="43" spans="2:10" ht="12.75">
      <c r="B43" s="270" t="s">
        <v>356</v>
      </c>
      <c r="C43" s="98"/>
      <c r="D43" s="18"/>
      <c r="E43" s="18"/>
      <c r="F43" s="18"/>
      <c r="G43" s="18"/>
      <c r="H43" s="18"/>
      <c r="I43" s="18"/>
      <c r="J43" s="266"/>
    </row>
    <row r="44" spans="2:10" ht="6" customHeight="1">
      <c r="B44" s="265"/>
      <c r="C44" s="98"/>
      <c r="D44" s="18"/>
      <c r="E44" s="18"/>
      <c r="F44" s="18"/>
      <c r="G44" s="18"/>
      <c r="H44" s="18"/>
      <c r="I44" s="18"/>
      <c r="J44" s="266"/>
    </row>
    <row r="45" spans="2:10" ht="12.75">
      <c r="B45" s="265" t="s">
        <v>353</v>
      </c>
      <c r="C45" s="98"/>
      <c r="D45" s="18"/>
      <c r="E45" s="18"/>
      <c r="F45" s="18"/>
      <c r="G45" s="18"/>
      <c r="H45" s="18"/>
      <c r="I45" s="18"/>
      <c r="J45" s="266"/>
    </row>
    <row r="46" spans="2:10" ht="12.75">
      <c r="B46" s="265" t="s">
        <v>374</v>
      </c>
      <c r="C46" s="98"/>
      <c r="D46" s="18"/>
      <c r="E46" s="18"/>
      <c r="F46" s="18"/>
      <c r="G46" s="18"/>
      <c r="H46" s="18"/>
      <c r="I46" s="18"/>
      <c r="J46" s="266"/>
    </row>
    <row r="47" spans="2:10" ht="12.75">
      <c r="B47" s="265" t="s">
        <v>375</v>
      </c>
      <c r="C47" s="98"/>
      <c r="D47" s="18"/>
      <c r="E47" s="18"/>
      <c r="F47" s="18"/>
      <c r="G47" s="18"/>
      <c r="H47" s="18"/>
      <c r="I47" s="18"/>
      <c r="J47" s="266"/>
    </row>
    <row r="48" spans="2:10" ht="12.75">
      <c r="B48" s="265" t="s">
        <v>373</v>
      </c>
      <c r="C48" s="98"/>
      <c r="D48" s="18"/>
      <c r="E48" s="18"/>
      <c r="F48" s="18"/>
      <c r="G48" s="18"/>
      <c r="H48" s="18"/>
      <c r="I48" s="18"/>
      <c r="J48" s="266"/>
    </row>
    <row r="49" spans="2:10" ht="12.75">
      <c r="B49" s="265"/>
      <c r="C49" s="98"/>
      <c r="D49" s="18"/>
      <c r="E49" s="18"/>
      <c r="F49" s="18"/>
      <c r="G49" s="18"/>
      <c r="H49" s="18"/>
      <c r="I49" s="18"/>
      <c r="J49" s="266"/>
    </row>
    <row r="50" spans="2:10" ht="15">
      <c r="B50" s="267" t="s">
        <v>357</v>
      </c>
      <c r="C50" s="98"/>
      <c r="D50" s="18"/>
      <c r="E50" s="18"/>
      <c r="F50" s="18"/>
      <c r="G50" s="18"/>
      <c r="H50" s="18"/>
      <c r="I50" s="18"/>
      <c r="J50" s="266"/>
    </row>
    <row r="51" spans="2:10" ht="12.75">
      <c r="B51" s="265" t="s">
        <v>354</v>
      </c>
      <c r="C51" s="98"/>
      <c r="D51" s="18"/>
      <c r="E51" s="18"/>
      <c r="F51" s="18"/>
      <c r="G51" s="18"/>
      <c r="H51" s="18"/>
      <c r="I51" s="18"/>
      <c r="J51" s="266"/>
    </row>
    <row r="52" spans="2:10" ht="12.75">
      <c r="B52" s="268" t="s">
        <v>355</v>
      </c>
      <c r="C52" s="269"/>
      <c r="D52" s="258"/>
      <c r="E52" s="258"/>
      <c r="F52" s="258"/>
      <c r="G52" s="258"/>
      <c r="H52" s="258"/>
      <c r="I52" s="258"/>
      <c r="J52" s="262"/>
    </row>
  </sheetData>
  <sheetProtection sheet="1" objects="1" scenarios="1"/>
  <mergeCells count="18">
    <mergeCell ref="L16:R16"/>
    <mergeCell ref="C20:I20"/>
    <mergeCell ref="C27:I27"/>
    <mergeCell ref="C26:I26"/>
    <mergeCell ref="C18:I18"/>
    <mergeCell ref="C21:I21"/>
    <mergeCell ref="L14:R14"/>
    <mergeCell ref="L13:R13"/>
    <mergeCell ref="B9:I9"/>
    <mergeCell ref="B11:I11"/>
    <mergeCell ref="B10:I10"/>
    <mergeCell ref="B5:I5"/>
    <mergeCell ref="B6:I6"/>
    <mergeCell ref="C29:I29"/>
    <mergeCell ref="C13:I13"/>
    <mergeCell ref="C14:I14"/>
    <mergeCell ref="C16:I16"/>
    <mergeCell ref="C22:I22"/>
  </mergeCells>
  <hyperlinks>
    <hyperlink ref="I30" location="Infos_zum_Rechner!A21" display="Info (..)"/>
    <hyperlink ref="J14" location="InfosKUP!A126:A132" display="Info"/>
    <hyperlink ref="J16" location="InfosKUP!A142:A143" display="Info"/>
    <hyperlink ref="J18" location="InfosKUP!A154:A159" display="Info"/>
    <hyperlink ref="J20" location="InfosKUP!A172:A186" display="Info"/>
    <hyperlink ref="I7" location="Eingabe_u_Ergebnisübersicht!A1" display="Dateneingabe"/>
  </hyperlinks>
  <printOptions/>
  <pageMargins left="0.75" right="0.75" top="1" bottom="1" header="0.4921259845" footer="0.4921259845"/>
  <pageSetup horizontalDpi="1200" verticalDpi="1200" orientation="portrait" paperSize="9" scale="85" r:id="rId2"/>
  <headerFooter alignWithMargins="0">
    <oddFooter>&amp;LKUP-Rechner; LTZ / LEL&amp;C&amp;F&amp;R&amp;A</oddFooter>
  </headerFooter>
  <drawing r:id="rId1"/>
</worksheet>
</file>

<file path=xl/worksheets/sheet2.xml><?xml version="1.0" encoding="utf-8"?>
<worksheet xmlns="http://schemas.openxmlformats.org/spreadsheetml/2006/main" xmlns:r="http://schemas.openxmlformats.org/officeDocument/2006/relationships">
  <sheetPr codeName="Tabelle3">
    <pageSetUpPr fitToPage="1"/>
  </sheetPr>
  <dimension ref="A2:L188"/>
  <sheetViews>
    <sheetView showGridLines="0" workbookViewId="0" topLeftCell="A1">
      <pane ySplit="3" topLeftCell="BM4" activePane="bottomLeft" state="frozen"/>
      <selection pane="topLeft" activeCell="G2" sqref="G2"/>
      <selection pane="bottomLeft" activeCell="A142" sqref="A142:A143"/>
    </sheetView>
  </sheetViews>
  <sheetFormatPr defaultColWidth="11.421875" defaultRowHeight="12.75"/>
  <cols>
    <col min="1" max="1" width="1.421875" style="0" customWidth="1"/>
    <col min="2" max="2" width="12.8515625" style="0" customWidth="1"/>
    <col min="5" max="5" width="16.140625" style="0" customWidth="1"/>
    <col min="8" max="8" width="15.421875" style="0" customWidth="1"/>
    <col min="9" max="9" width="6.8515625" style="0" customWidth="1"/>
    <col min="10" max="10" width="1.421875" style="0" customWidth="1"/>
  </cols>
  <sheetData>
    <row r="1" ht="3.75" customHeight="1"/>
    <row r="2" spans="1:10" ht="8.25" customHeight="1">
      <c r="A2" s="46"/>
      <c r="B2" s="46"/>
      <c r="C2" s="46"/>
      <c r="D2" s="46"/>
      <c r="E2" s="46"/>
      <c r="F2" s="46"/>
      <c r="G2" s="46"/>
      <c r="H2" s="46"/>
      <c r="I2" s="46"/>
      <c r="J2" s="46"/>
    </row>
    <row r="3" spans="1:10" ht="39" customHeight="1">
      <c r="A3" s="46"/>
      <c r="B3" s="12" t="s">
        <v>381</v>
      </c>
      <c r="D3" s="1"/>
      <c r="H3" s="318" t="s">
        <v>365</v>
      </c>
      <c r="J3" s="46"/>
    </row>
    <row r="4" spans="1:10" ht="9" customHeight="1">
      <c r="A4" s="46"/>
      <c r="B4" s="45"/>
      <c r="J4" s="46"/>
    </row>
    <row r="5" spans="1:10" ht="13.5" customHeight="1">
      <c r="A5" s="46"/>
      <c r="B5" s="45" t="s">
        <v>299</v>
      </c>
      <c r="J5" s="46"/>
    </row>
    <row r="6" spans="1:10" ht="58.5" customHeight="1">
      <c r="A6" s="46"/>
      <c r="B6" s="458" t="s">
        <v>26</v>
      </c>
      <c r="C6" s="458"/>
      <c r="D6" s="458"/>
      <c r="E6" s="458"/>
      <c r="F6" s="458"/>
      <c r="G6" s="458"/>
      <c r="H6" s="458"/>
      <c r="J6" s="46"/>
    </row>
    <row r="7" spans="1:10" ht="4.5" customHeight="1">
      <c r="A7" s="46"/>
      <c r="B7" s="6"/>
      <c r="C7" s="6"/>
      <c r="D7" s="6"/>
      <c r="E7" s="6"/>
      <c r="F7" s="6"/>
      <c r="G7" s="6"/>
      <c r="H7" s="6"/>
      <c r="J7" s="46"/>
    </row>
    <row r="8" spans="1:10" ht="13.5" customHeight="1">
      <c r="A8" s="46"/>
      <c r="B8" s="5" t="s">
        <v>24</v>
      </c>
      <c r="C8" s="459" t="s">
        <v>23</v>
      </c>
      <c r="D8" s="458"/>
      <c r="E8" s="458"/>
      <c r="F8" s="458"/>
      <c r="G8" s="458"/>
      <c r="H8" s="458"/>
      <c r="I8" s="14"/>
      <c r="J8" s="46"/>
    </row>
    <row r="9" spans="1:10" ht="13.5" customHeight="1" thickBot="1">
      <c r="A9" s="46"/>
      <c r="B9" s="5"/>
      <c r="C9" s="211"/>
      <c r="D9" s="6"/>
      <c r="E9" s="6"/>
      <c r="F9" s="6"/>
      <c r="G9" s="6"/>
      <c r="H9" s="6"/>
      <c r="I9" s="14"/>
      <c r="J9" s="46"/>
    </row>
    <row r="10" spans="1:10" ht="15.75">
      <c r="A10" s="46"/>
      <c r="B10" s="222" t="s">
        <v>307</v>
      </c>
      <c r="C10" s="42"/>
      <c r="D10" s="42"/>
      <c r="E10" s="42"/>
      <c r="F10" s="223"/>
      <c r="G10" s="42"/>
      <c r="H10" s="42"/>
      <c r="I10" s="224"/>
      <c r="J10" s="46"/>
    </row>
    <row r="11" spans="1:10" ht="15.75">
      <c r="A11" s="46"/>
      <c r="B11" s="225" t="s">
        <v>309</v>
      </c>
      <c r="C11" s="18"/>
      <c r="D11" s="18"/>
      <c r="E11" s="218"/>
      <c r="F11" s="218"/>
      <c r="G11" s="18"/>
      <c r="H11" s="18"/>
      <c r="I11" s="226"/>
      <c r="J11" s="46"/>
    </row>
    <row r="12" spans="1:10" ht="6.75" customHeight="1">
      <c r="A12" s="46"/>
      <c r="B12" s="227"/>
      <c r="C12" s="18"/>
      <c r="D12" s="18"/>
      <c r="E12" s="18"/>
      <c r="F12" s="18"/>
      <c r="G12" s="18"/>
      <c r="H12" s="18"/>
      <c r="I12" s="226"/>
      <c r="J12" s="46"/>
    </row>
    <row r="13" spans="1:10" ht="16.5" customHeight="1">
      <c r="A13" s="46"/>
      <c r="B13" s="20"/>
      <c r="C13" s="18"/>
      <c r="D13" s="219" t="s">
        <v>300</v>
      </c>
      <c r="E13" s="18"/>
      <c r="F13" s="220"/>
      <c r="G13" s="18"/>
      <c r="H13" s="18"/>
      <c r="I13" s="226"/>
      <c r="J13" s="46"/>
    </row>
    <row r="14" spans="1:10" ht="2.25" customHeight="1">
      <c r="A14" s="46"/>
      <c r="B14" s="227"/>
      <c r="C14" s="18"/>
      <c r="D14" s="18"/>
      <c r="E14" s="18"/>
      <c r="F14" s="221"/>
      <c r="G14" s="18"/>
      <c r="H14" s="18"/>
      <c r="I14" s="226"/>
      <c r="J14" s="46"/>
    </row>
    <row r="15" spans="1:10" ht="15.75">
      <c r="A15" s="46"/>
      <c r="B15" s="228" t="s">
        <v>301</v>
      </c>
      <c r="C15" s="18"/>
      <c r="D15" s="18"/>
      <c r="E15" s="18"/>
      <c r="F15" s="221" t="s">
        <v>304</v>
      </c>
      <c r="G15" s="18"/>
      <c r="H15" s="18"/>
      <c r="I15" s="226"/>
      <c r="J15" s="46"/>
    </row>
    <row r="16" spans="1:10" ht="15.75">
      <c r="A16" s="46"/>
      <c r="B16" s="228" t="s">
        <v>302</v>
      </c>
      <c r="C16" s="18"/>
      <c r="D16" s="18"/>
      <c r="E16" s="18"/>
      <c r="F16" s="221" t="s">
        <v>305</v>
      </c>
      <c r="G16" s="18"/>
      <c r="H16" s="18"/>
      <c r="I16" s="226"/>
      <c r="J16" s="46"/>
    </row>
    <row r="17" spans="1:10" ht="15.75">
      <c r="A17" s="46"/>
      <c r="B17" s="228" t="s">
        <v>303</v>
      </c>
      <c r="C17" s="18"/>
      <c r="D17" s="18"/>
      <c r="E17" s="18"/>
      <c r="F17" s="221" t="s">
        <v>306</v>
      </c>
      <c r="G17" s="18"/>
      <c r="H17" s="18"/>
      <c r="I17" s="226"/>
      <c r="J17" s="46"/>
    </row>
    <row r="18" spans="1:10" ht="16.5" thickBot="1">
      <c r="A18" s="46"/>
      <c r="B18" s="229" t="s">
        <v>310</v>
      </c>
      <c r="C18" s="43"/>
      <c r="D18" s="43"/>
      <c r="E18" s="43"/>
      <c r="F18" s="230" t="s">
        <v>311</v>
      </c>
      <c r="G18" s="43"/>
      <c r="H18" s="43"/>
      <c r="I18" s="231"/>
      <c r="J18" s="46"/>
    </row>
    <row r="19" spans="1:10" ht="20.25" customHeight="1">
      <c r="A19" s="46"/>
      <c r="B19" s="5"/>
      <c r="C19" s="211"/>
      <c r="D19" s="6"/>
      <c r="E19" s="6"/>
      <c r="F19" s="6"/>
      <c r="G19" s="6"/>
      <c r="H19" s="6"/>
      <c r="I19" s="14"/>
      <c r="J19" s="46"/>
    </row>
    <row r="20" spans="1:11" ht="13.5" customHeight="1">
      <c r="A20" s="46"/>
      <c r="B20" s="460" t="s">
        <v>6</v>
      </c>
      <c r="C20" s="460"/>
      <c r="D20" s="7"/>
      <c r="E20" s="7"/>
      <c r="F20" s="460" t="s">
        <v>7</v>
      </c>
      <c r="G20" s="460"/>
      <c r="H20" s="7"/>
      <c r="J20" s="46"/>
      <c r="K20" s="99"/>
    </row>
    <row r="21" spans="1:10" ht="1.5" customHeight="1">
      <c r="A21" s="46"/>
      <c r="H21" s="13"/>
      <c r="J21" s="46"/>
    </row>
    <row r="22" spans="1:10" ht="17.25" customHeight="1">
      <c r="A22" s="46"/>
      <c r="B22" s="13" t="s">
        <v>91</v>
      </c>
      <c r="C22" s="13"/>
      <c r="D22" s="13"/>
      <c r="E22" s="13"/>
      <c r="F22" s="25" t="s">
        <v>8</v>
      </c>
      <c r="H22" s="13"/>
      <c r="J22" s="46"/>
    </row>
    <row r="23" spans="1:10" ht="13.5" customHeight="1">
      <c r="A23" s="46"/>
      <c r="B23" s="13" t="s">
        <v>9</v>
      </c>
      <c r="C23" s="13"/>
      <c r="D23" s="13"/>
      <c r="E23" s="13"/>
      <c r="F23" s="25" t="s">
        <v>10</v>
      </c>
      <c r="H23" s="13"/>
      <c r="J23" s="46"/>
    </row>
    <row r="24" spans="1:10" ht="12" customHeight="1">
      <c r="A24" s="46"/>
      <c r="B24" s="13" t="s">
        <v>11</v>
      </c>
      <c r="C24" s="13"/>
      <c r="D24" s="13"/>
      <c r="E24" s="13"/>
      <c r="F24" s="25" t="s">
        <v>12</v>
      </c>
      <c r="H24" s="13"/>
      <c r="J24" s="46"/>
    </row>
    <row r="25" spans="1:10" ht="11.25" customHeight="1">
      <c r="A25" s="46"/>
      <c r="B25" s="13" t="s">
        <v>13</v>
      </c>
      <c r="C25" s="13"/>
      <c r="D25" s="13"/>
      <c r="E25" s="13"/>
      <c r="F25" s="25" t="s">
        <v>14</v>
      </c>
      <c r="H25" s="13"/>
      <c r="J25" s="46"/>
    </row>
    <row r="26" spans="1:10" ht="13.5" customHeight="1">
      <c r="A26" s="46"/>
      <c r="B26" s="13" t="s">
        <v>15</v>
      </c>
      <c r="C26" s="13"/>
      <c r="D26" s="13"/>
      <c r="E26" s="13"/>
      <c r="F26" s="25" t="s">
        <v>16</v>
      </c>
      <c r="H26" s="13"/>
      <c r="J26" s="46"/>
    </row>
    <row r="27" spans="1:10" ht="15.75" customHeight="1">
      <c r="A27" s="46"/>
      <c r="B27" s="13" t="s">
        <v>17</v>
      </c>
      <c r="C27" s="13"/>
      <c r="D27" s="13"/>
      <c r="E27" s="13"/>
      <c r="F27" s="25" t="s">
        <v>18</v>
      </c>
      <c r="H27" s="13"/>
      <c r="J27" s="46"/>
    </row>
    <row r="28" spans="1:10" ht="14.25">
      <c r="A28" s="46"/>
      <c r="B28" s="13" t="s">
        <v>19</v>
      </c>
      <c r="C28" s="13"/>
      <c r="D28" s="13"/>
      <c r="E28" s="13"/>
      <c r="F28" s="25" t="s">
        <v>20</v>
      </c>
      <c r="H28" s="8"/>
      <c r="I28" s="14"/>
      <c r="J28" s="46"/>
    </row>
    <row r="29" spans="1:10" ht="14.25">
      <c r="A29" s="46"/>
      <c r="F29" s="15"/>
      <c r="G29" s="15"/>
      <c r="H29" s="15"/>
      <c r="I29" s="14"/>
      <c r="J29" s="46"/>
    </row>
    <row r="30" spans="1:10" ht="14.25">
      <c r="A30" s="46"/>
      <c r="B30" s="5" t="s">
        <v>24</v>
      </c>
      <c r="C30" s="459" t="s">
        <v>22</v>
      </c>
      <c r="D30" s="458"/>
      <c r="E30" s="458"/>
      <c r="F30" s="461" t="s">
        <v>25</v>
      </c>
      <c r="G30" s="461"/>
      <c r="H30" s="26"/>
      <c r="I30" s="14"/>
      <c r="J30" s="46"/>
    </row>
    <row r="31" spans="1:10" ht="13.5" customHeight="1">
      <c r="A31" s="46"/>
      <c r="B31" s="5"/>
      <c r="C31" s="211"/>
      <c r="D31" s="6"/>
      <c r="E31" s="6"/>
      <c r="F31" s="6"/>
      <c r="G31" s="6"/>
      <c r="H31" s="6"/>
      <c r="I31" s="14"/>
      <c r="J31" s="46"/>
    </row>
    <row r="32" spans="1:10" ht="23.25" customHeight="1">
      <c r="A32" s="46"/>
      <c r="B32" s="5" t="s">
        <v>21</v>
      </c>
      <c r="C32" s="8"/>
      <c r="D32" s="8"/>
      <c r="E32" s="8"/>
      <c r="F32" s="8"/>
      <c r="G32" s="8"/>
      <c r="H32" s="8"/>
      <c r="I32" s="8"/>
      <c r="J32" s="46"/>
    </row>
    <row r="33" spans="1:10" ht="9.75" customHeight="1">
      <c r="A33" s="46"/>
      <c r="B33" s="5"/>
      <c r="C33" s="8"/>
      <c r="D33" s="8"/>
      <c r="E33" s="8"/>
      <c r="F33" s="8"/>
      <c r="G33" s="8"/>
      <c r="H33" s="8"/>
      <c r="I33" s="8"/>
      <c r="J33" s="46"/>
    </row>
    <row r="34" spans="1:10" ht="15" customHeight="1">
      <c r="A34" s="46"/>
      <c r="B34" s="203" t="s">
        <v>251</v>
      </c>
      <c r="C34" s="203"/>
      <c r="D34" s="203"/>
      <c r="E34" s="203"/>
      <c r="F34" s="203"/>
      <c r="G34" s="203"/>
      <c r="H34" s="8"/>
      <c r="I34" s="8"/>
      <c r="J34" s="46"/>
    </row>
    <row r="35" spans="1:10" ht="18.75" customHeight="1">
      <c r="A35" s="46"/>
      <c r="B35" s="203" t="s">
        <v>252</v>
      </c>
      <c r="C35" s="203"/>
      <c r="D35" s="203"/>
      <c r="E35" s="203"/>
      <c r="F35" s="203"/>
      <c r="G35" s="203"/>
      <c r="H35" s="8"/>
      <c r="I35" s="8"/>
      <c r="J35" s="46"/>
    </row>
    <row r="36" spans="1:10" ht="15.75" customHeight="1">
      <c r="A36" s="46"/>
      <c r="B36" s="10" t="s">
        <v>24</v>
      </c>
      <c r="C36" s="16" t="s">
        <v>27</v>
      </c>
      <c r="D36" s="8"/>
      <c r="E36" s="8"/>
      <c r="F36" s="8"/>
      <c r="G36" s="8"/>
      <c r="H36" s="8"/>
      <c r="I36" s="8"/>
      <c r="J36" s="46"/>
    </row>
    <row r="37" spans="1:10" ht="8.25" customHeight="1">
      <c r="A37" s="46"/>
      <c r="B37" s="5"/>
      <c r="C37" s="8"/>
      <c r="D37" s="8"/>
      <c r="E37" s="8"/>
      <c r="F37" s="8"/>
      <c r="G37" s="8"/>
      <c r="H37" s="8"/>
      <c r="I37" s="8"/>
      <c r="J37" s="46"/>
    </row>
    <row r="38" spans="1:10" ht="22.5" customHeight="1">
      <c r="A38" s="46"/>
      <c r="B38" s="203" t="s">
        <v>28</v>
      </c>
      <c r="C38" s="8"/>
      <c r="D38" s="8"/>
      <c r="E38" s="8"/>
      <c r="F38" s="8"/>
      <c r="G38" s="8"/>
      <c r="H38" s="8"/>
      <c r="I38" s="8"/>
      <c r="J38" s="46"/>
    </row>
    <row r="39" spans="1:10" ht="12.75">
      <c r="A39" s="46"/>
      <c r="B39" s="10" t="s">
        <v>24</v>
      </c>
      <c r="C39" s="16" t="s">
        <v>29</v>
      </c>
      <c r="D39" s="8"/>
      <c r="E39" s="8"/>
      <c r="F39" s="8"/>
      <c r="G39" s="8"/>
      <c r="H39" s="8"/>
      <c r="I39" s="8"/>
      <c r="J39" s="46"/>
    </row>
    <row r="40" spans="1:10" ht="5.25" customHeight="1">
      <c r="A40" s="46"/>
      <c r="B40" s="10"/>
      <c r="C40" s="8"/>
      <c r="D40" s="8"/>
      <c r="E40" s="8"/>
      <c r="F40" s="8"/>
      <c r="G40" s="8"/>
      <c r="H40" s="8"/>
      <c r="I40" s="8"/>
      <c r="J40" s="46"/>
    </row>
    <row r="41" spans="1:10" ht="15.75" customHeight="1">
      <c r="A41" s="46"/>
      <c r="B41" s="203" t="s">
        <v>30</v>
      </c>
      <c r="C41" s="8"/>
      <c r="D41" s="8"/>
      <c r="E41" s="8"/>
      <c r="F41" s="8"/>
      <c r="G41" s="8"/>
      <c r="H41" s="8"/>
      <c r="I41" s="8"/>
      <c r="J41" s="46"/>
    </row>
    <row r="42" spans="1:10" ht="12.75">
      <c r="A42" s="46"/>
      <c r="B42" s="10" t="s">
        <v>24</v>
      </c>
      <c r="C42" s="16" t="s">
        <v>31</v>
      </c>
      <c r="D42" s="8"/>
      <c r="E42" s="8"/>
      <c r="F42" s="8"/>
      <c r="G42" s="8"/>
      <c r="H42" s="8"/>
      <c r="I42" s="8"/>
      <c r="J42" s="46"/>
    </row>
    <row r="43" spans="1:10" ht="6.75" customHeight="1">
      <c r="A43" s="46"/>
      <c r="J43" s="46"/>
    </row>
    <row r="44" spans="1:10" ht="12.75">
      <c r="A44" s="46"/>
      <c r="B44" s="204" t="s">
        <v>32</v>
      </c>
      <c r="C44" s="9"/>
      <c r="D44" s="9"/>
      <c r="E44" s="9"/>
      <c r="F44" s="9"/>
      <c r="G44" s="9"/>
      <c r="H44" s="9"/>
      <c r="I44" s="9"/>
      <c r="J44" s="46"/>
    </row>
    <row r="45" spans="1:10" ht="12.75">
      <c r="A45" s="46"/>
      <c r="B45" s="10" t="s">
        <v>24</v>
      </c>
      <c r="C45" s="16" t="s">
        <v>33</v>
      </c>
      <c r="D45" s="9"/>
      <c r="E45" s="9"/>
      <c r="F45" s="9"/>
      <c r="G45" s="9"/>
      <c r="H45" s="9"/>
      <c r="I45" s="9"/>
      <c r="J45" s="46"/>
    </row>
    <row r="46" spans="1:10" ht="6.75" customHeight="1">
      <c r="A46" s="46"/>
      <c r="B46" s="9"/>
      <c r="C46" s="9"/>
      <c r="D46" s="9"/>
      <c r="E46" s="9"/>
      <c r="F46" s="9"/>
      <c r="G46" s="9"/>
      <c r="H46" s="9"/>
      <c r="I46" s="9"/>
      <c r="J46" s="46"/>
    </row>
    <row r="47" spans="1:10" ht="12.75">
      <c r="A47" s="46"/>
      <c r="B47" s="204" t="s">
        <v>34</v>
      </c>
      <c r="C47" s="11"/>
      <c r="D47" s="11"/>
      <c r="E47" s="11"/>
      <c r="F47" s="11"/>
      <c r="G47" s="11"/>
      <c r="H47" s="11"/>
      <c r="I47" s="11"/>
      <c r="J47" s="46"/>
    </row>
    <row r="48" spans="1:10" ht="12.75">
      <c r="A48" s="46"/>
      <c r="B48" s="10" t="s">
        <v>24</v>
      </c>
      <c r="C48" s="16" t="s">
        <v>35</v>
      </c>
      <c r="D48" s="8"/>
      <c r="E48" s="8"/>
      <c r="F48" s="8"/>
      <c r="G48" s="8"/>
      <c r="H48" s="8"/>
      <c r="I48" s="8"/>
      <c r="J48" s="46"/>
    </row>
    <row r="49" spans="1:10" ht="6.75" customHeight="1">
      <c r="A49" s="46"/>
      <c r="C49" s="16"/>
      <c r="D49" s="8"/>
      <c r="E49" s="8"/>
      <c r="F49" s="8"/>
      <c r="G49" s="8"/>
      <c r="H49" s="8"/>
      <c r="I49" s="8"/>
      <c r="J49" s="46"/>
    </row>
    <row r="50" spans="1:10" ht="25.5" customHeight="1">
      <c r="A50" s="46"/>
      <c r="B50" s="204" t="s">
        <v>37</v>
      </c>
      <c r="C50" s="8"/>
      <c r="D50" s="8"/>
      <c r="E50" s="8"/>
      <c r="F50" s="8"/>
      <c r="G50" s="8"/>
      <c r="H50" s="8"/>
      <c r="I50" s="8"/>
      <c r="J50" s="46"/>
    </row>
    <row r="51" spans="1:10" ht="15" customHeight="1">
      <c r="A51" s="46"/>
      <c r="B51" s="10" t="s">
        <v>24</v>
      </c>
      <c r="C51" s="16" t="s">
        <v>36</v>
      </c>
      <c r="D51" s="8"/>
      <c r="E51" s="8"/>
      <c r="F51" s="8"/>
      <c r="G51" s="8"/>
      <c r="H51" s="8"/>
      <c r="I51" s="8"/>
      <c r="J51" s="46"/>
    </row>
    <row r="52" spans="1:10" ht="6.75" customHeight="1">
      <c r="A52" s="46"/>
      <c r="B52" s="11"/>
      <c r="C52" s="8"/>
      <c r="D52" s="8"/>
      <c r="E52" s="8"/>
      <c r="F52" s="8"/>
      <c r="G52" s="8"/>
      <c r="H52" s="8"/>
      <c r="I52" s="8"/>
      <c r="J52" s="46"/>
    </row>
    <row r="53" spans="1:10" ht="23.25" customHeight="1">
      <c r="A53" s="46"/>
      <c r="B53" s="204" t="s">
        <v>39</v>
      </c>
      <c r="C53" s="8"/>
      <c r="D53" s="8"/>
      <c r="E53" s="8"/>
      <c r="F53" s="8"/>
      <c r="G53" s="8"/>
      <c r="H53" s="8"/>
      <c r="I53" s="8"/>
      <c r="J53" s="46"/>
    </row>
    <row r="54" spans="1:10" ht="20.25" customHeight="1">
      <c r="A54" s="46"/>
      <c r="B54" s="10" t="s">
        <v>24</v>
      </c>
      <c r="C54" s="16" t="s">
        <v>38</v>
      </c>
      <c r="D54" s="8"/>
      <c r="E54" s="8"/>
      <c r="F54" s="8"/>
      <c r="G54" s="8"/>
      <c r="H54" s="8"/>
      <c r="I54" s="8"/>
      <c r="J54" s="46"/>
    </row>
    <row r="55" spans="1:10" ht="6.75" customHeight="1">
      <c r="A55" s="46"/>
      <c r="B55" s="11"/>
      <c r="C55" s="8"/>
      <c r="D55" s="8"/>
      <c r="E55" s="8"/>
      <c r="F55" s="8"/>
      <c r="G55" s="8"/>
      <c r="H55" s="8"/>
      <c r="I55" s="8"/>
      <c r="J55" s="46"/>
    </row>
    <row r="56" spans="1:10" ht="22.5" customHeight="1">
      <c r="A56" s="46"/>
      <c r="B56" s="204" t="s">
        <v>41</v>
      </c>
      <c r="C56" s="8"/>
      <c r="D56" s="8"/>
      <c r="E56" s="8"/>
      <c r="F56" s="8"/>
      <c r="G56" s="8"/>
      <c r="H56" s="8"/>
      <c r="I56" s="8"/>
      <c r="J56" s="46"/>
    </row>
    <row r="57" spans="1:10" ht="24.75" customHeight="1">
      <c r="A57" s="46"/>
      <c r="B57" s="10" t="s">
        <v>24</v>
      </c>
      <c r="C57" s="16" t="s">
        <v>40</v>
      </c>
      <c r="D57" s="8"/>
      <c r="E57" s="8"/>
      <c r="F57" s="8"/>
      <c r="G57" s="8"/>
      <c r="H57" s="8"/>
      <c r="I57" s="8"/>
      <c r="J57" s="46"/>
    </row>
    <row r="58" spans="1:10" ht="6.75" customHeight="1">
      <c r="A58" s="46"/>
      <c r="B58" s="11"/>
      <c r="C58" s="8"/>
      <c r="D58" s="8"/>
      <c r="E58" s="8"/>
      <c r="F58" s="8"/>
      <c r="G58" s="8"/>
      <c r="H58" s="8"/>
      <c r="I58" s="8"/>
      <c r="J58" s="46"/>
    </row>
    <row r="59" spans="1:10" ht="19.5" customHeight="1">
      <c r="A59" s="46"/>
      <c r="B59" s="204" t="s">
        <v>43</v>
      </c>
      <c r="C59" s="8"/>
      <c r="D59" s="8"/>
      <c r="E59" s="8"/>
      <c r="F59" s="8"/>
      <c r="G59" s="8"/>
      <c r="H59" s="8"/>
      <c r="I59" s="8"/>
      <c r="J59" s="46"/>
    </row>
    <row r="60" spans="1:10" ht="19.5" customHeight="1">
      <c r="A60" s="46"/>
      <c r="B60" s="10" t="s">
        <v>24</v>
      </c>
      <c r="C60" s="16" t="s">
        <v>42</v>
      </c>
      <c r="D60" s="8"/>
      <c r="E60" s="8"/>
      <c r="F60" s="8"/>
      <c r="G60" s="8"/>
      <c r="H60" s="8"/>
      <c r="I60" s="8"/>
      <c r="J60" s="46"/>
    </row>
    <row r="61" spans="1:10" ht="6.75" customHeight="1">
      <c r="A61" s="46"/>
      <c r="B61" s="8"/>
      <c r="J61" s="46"/>
    </row>
    <row r="62" spans="1:10" ht="2.25" customHeight="1">
      <c r="A62" s="46"/>
      <c r="J62" s="46"/>
    </row>
    <row r="63" spans="1:10" ht="19.5" customHeight="1">
      <c r="A63" s="46"/>
      <c r="B63" s="204" t="s">
        <v>254</v>
      </c>
      <c r="J63" s="46"/>
    </row>
    <row r="64" spans="1:10" ht="0.75" customHeight="1">
      <c r="A64" s="46"/>
      <c r="J64" s="46"/>
    </row>
    <row r="65" spans="1:10" ht="12.75" customHeight="1">
      <c r="A65" s="46"/>
      <c r="B65" s="10" t="s">
        <v>24</v>
      </c>
      <c r="C65" s="112" t="s">
        <v>253</v>
      </c>
      <c r="J65" s="46"/>
    </row>
    <row r="66" spans="1:10" ht="6.75" customHeight="1">
      <c r="A66" s="46"/>
      <c r="B66" s="5"/>
      <c r="C66" s="211"/>
      <c r="D66" s="6"/>
      <c r="E66" s="6"/>
      <c r="F66" s="6"/>
      <c r="G66" s="6"/>
      <c r="H66" s="6"/>
      <c r="I66" s="14"/>
      <c r="J66" s="46"/>
    </row>
    <row r="67" spans="1:11" ht="6" customHeight="1">
      <c r="A67" s="46"/>
      <c r="B67" s="455"/>
      <c r="C67" s="455"/>
      <c r="D67" s="455"/>
      <c r="E67" s="455"/>
      <c r="F67" s="455"/>
      <c r="G67" s="455"/>
      <c r="H67" s="455"/>
      <c r="I67" s="455"/>
      <c r="J67" s="46"/>
      <c r="K67" s="129"/>
    </row>
    <row r="68" spans="1:10" ht="30" customHeight="1">
      <c r="A68" s="46"/>
      <c r="B68" s="45" t="s">
        <v>44</v>
      </c>
      <c r="J68" s="46"/>
    </row>
    <row r="69" spans="1:10" ht="127.5" customHeight="1">
      <c r="A69" s="46"/>
      <c r="B69" s="455" t="s">
        <v>315</v>
      </c>
      <c r="C69" s="455"/>
      <c r="D69" s="455"/>
      <c r="E69" s="455"/>
      <c r="F69" s="455"/>
      <c r="G69" s="455"/>
      <c r="H69" s="455"/>
      <c r="I69" s="455"/>
      <c r="J69" s="46"/>
    </row>
    <row r="70" spans="1:10" ht="6.75" customHeight="1">
      <c r="A70" s="46"/>
      <c r="B70" s="45"/>
      <c r="J70" s="46"/>
    </row>
    <row r="71" spans="1:10" ht="105.75" customHeight="1">
      <c r="A71" s="46"/>
      <c r="B71" s="455" t="s">
        <v>320</v>
      </c>
      <c r="C71" s="455"/>
      <c r="D71" s="455"/>
      <c r="E71" s="455"/>
      <c r="F71" s="455"/>
      <c r="G71" s="455"/>
      <c r="H71" s="455"/>
      <c r="I71" s="455"/>
      <c r="J71" s="46"/>
    </row>
    <row r="72" spans="1:10" ht="32.25" customHeight="1">
      <c r="A72" s="46"/>
      <c r="B72" s="455" t="s">
        <v>290</v>
      </c>
      <c r="C72" s="455"/>
      <c r="D72" s="455"/>
      <c r="E72" s="455"/>
      <c r="F72" s="455"/>
      <c r="G72" s="455"/>
      <c r="H72" s="455"/>
      <c r="I72" s="455"/>
      <c r="J72" s="46"/>
    </row>
    <row r="73" spans="1:10" ht="2.25" customHeight="1">
      <c r="A73" s="46"/>
      <c r="B73" s="455"/>
      <c r="C73" s="455"/>
      <c r="D73" s="455"/>
      <c r="E73" s="455"/>
      <c r="F73" s="455"/>
      <c r="G73" s="455"/>
      <c r="H73" s="455"/>
      <c r="I73" s="455"/>
      <c r="J73" s="46"/>
    </row>
    <row r="74" spans="1:10" ht="1.5" customHeight="1">
      <c r="A74" s="46"/>
      <c r="B74" s="17"/>
      <c r="C74" s="17"/>
      <c r="D74" s="17"/>
      <c r="E74" s="17"/>
      <c r="F74" s="17"/>
      <c r="G74" s="17"/>
      <c r="H74" s="17"/>
      <c r="I74" s="17"/>
      <c r="J74" s="46"/>
    </row>
    <row r="75" spans="1:10" ht="0.75" customHeight="1">
      <c r="A75" s="46"/>
      <c r="B75" s="17"/>
      <c r="C75" s="17"/>
      <c r="D75" s="17"/>
      <c r="E75" s="17"/>
      <c r="F75" s="17"/>
      <c r="G75" s="17"/>
      <c r="H75" s="17"/>
      <c r="I75" s="17"/>
      <c r="J75" s="46"/>
    </row>
    <row r="76" spans="1:10" ht="0.75" customHeight="1">
      <c r="A76" s="46"/>
      <c r="B76" s="17"/>
      <c r="C76" s="17"/>
      <c r="D76" s="17"/>
      <c r="E76" s="17"/>
      <c r="F76" s="17"/>
      <c r="G76" s="17"/>
      <c r="H76" s="17"/>
      <c r="I76" s="17"/>
      <c r="J76" s="46"/>
    </row>
    <row r="77" spans="1:10" ht="0.75" customHeight="1">
      <c r="A77" s="46"/>
      <c r="B77" s="17"/>
      <c r="C77" s="17"/>
      <c r="D77" s="17"/>
      <c r="E77" s="17"/>
      <c r="F77" s="17"/>
      <c r="G77" s="17"/>
      <c r="H77" s="17"/>
      <c r="I77" s="17"/>
      <c r="J77" s="46"/>
    </row>
    <row r="78" spans="1:10" ht="0.75" customHeight="1">
      <c r="A78" s="46"/>
      <c r="B78" s="17"/>
      <c r="C78" s="17"/>
      <c r="D78" s="17"/>
      <c r="E78" s="17"/>
      <c r="F78" s="17"/>
      <c r="G78" s="17"/>
      <c r="H78" s="17"/>
      <c r="I78" s="17"/>
      <c r="J78" s="46"/>
    </row>
    <row r="79" spans="1:10" ht="0.75" customHeight="1">
      <c r="A79" s="46"/>
      <c r="B79" s="17"/>
      <c r="C79" s="17"/>
      <c r="D79" s="17"/>
      <c r="E79" s="17"/>
      <c r="F79" s="17"/>
      <c r="G79" s="17"/>
      <c r="H79" s="17"/>
      <c r="I79" s="17"/>
      <c r="J79" s="46"/>
    </row>
    <row r="80" spans="1:10" ht="0.75" customHeight="1">
      <c r="A80" s="46"/>
      <c r="B80" s="17"/>
      <c r="C80" s="17"/>
      <c r="D80" s="17"/>
      <c r="E80" s="17"/>
      <c r="F80" s="17"/>
      <c r="G80" s="17"/>
      <c r="H80" s="17"/>
      <c r="I80" s="17"/>
      <c r="J80" s="46"/>
    </row>
    <row r="81" spans="1:10" ht="0.75" customHeight="1">
      <c r="A81" s="46"/>
      <c r="B81" s="17"/>
      <c r="C81" s="17"/>
      <c r="D81" s="17"/>
      <c r="E81" s="17"/>
      <c r="F81" s="17"/>
      <c r="G81" s="17"/>
      <c r="H81" s="17"/>
      <c r="I81" s="17"/>
      <c r="J81" s="46"/>
    </row>
    <row r="82" spans="1:10" ht="0.75" customHeight="1">
      <c r="A82" s="46"/>
      <c r="B82" s="17"/>
      <c r="C82" s="17"/>
      <c r="D82" s="17"/>
      <c r="E82" s="17"/>
      <c r="F82" s="17"/>
      <c r="G82" s="17"/>
      <c r="H82" s="17"/>
      <c r="I82" s="17"/>
      <c r="J82" s="46"/>
    </row>
    <row r="83" spans="1:10" ht="0.75" customHeight="1">
      <c r="A83" s="46"/>
      <c r="B83" s="17"/>
      <c r="C83" s="17"/>
      <c r="D83" s="17"/>
      <c r="E83" s="17"/>
      <c r="F83" s="17"/>
      <c r="G83" s="17"/>
      <c r="H83" s="17"/>
      <c r="I83" s="17"/>
      <c r="J83" s="46"/>
    </row>
    <row r="84" spans="1:10" ht="0.75" customHeight="1">
      <c r="A84" s="46"/>
      <c r="B84" s="17"/>
      <c r="C84" s="17"/>
      <c r="D84" s="17"/>
      <c r="E84" s="17"/>
      <c r="F84" s="17"/>
      <c r="G84" s="17"/>
      <c r="H84" s="17"/>
      <c r="I84" s="17"/>
      <c r="J84" s="46"/>
    </row>
    <row r="85" spans="1:10" ht="13.5" customHeight="1">
      <c r="A85" s="46">
        <v>25</v>
      </c>
      <c r="B85" s="45" t="s">
        <v>179</v>
      </c>
      <c r="J85" s="46"/>
    </row>
    <row r="86" spans="1:10" ht="9" customHeight="1">
      <c r="A86" s="46"/>
      <c r="B86" s="45"/>
      <c r="J86" s="46"/>
    </row>
    <row r="87" spans="1:10" ht="13.5" customHeight="1">
      <c r="A87" s="46"/>
      <c r="B87" s="25" t="s">
        <v>312</v>
      </c>
      <c r="J87" s="46"/>
    </row>
    <row r="88" spans="1:10" ht="13.5" customHeight="1">
      <c r="A88" s="46"/>
      <c r="B88" s="25" t="s">
        <v>291</v>
      </c>
      <c r="J88" s="46"/>
    </row>
    <row r="89" spans="1:10" ht="13.5" customHeight="1">
      <c r="A89" s="46"/>
      <c r="B89" s="25" t="s">
        <v>292</v>
      </c>
      <c r="J89" s="46"/>
    </row>
    <row r="90" spans="1:10" ht="13.5" customHeight="1">
      <c r="A90" s="46"/>
      <c r="B90" s="25" t="s">
        <v>243</v>
      </c>
      <c r="J90" s="46"/>
    </row>
    <row r="91" spans="1:10" ht="13.5" customHeight="1">
      <c r="A91" s="46"/>
      <c r="B91" s="25" t="s">
        <v>293</v>
      </c>
      <c r="J91" s="46"/>
    </row>
    <row r="92" spans="1:10" ht="9" customHeight="1">
      <c r="A92" s="46"/>
      <c r="B92" s="25"/>
      <c r="J92" s="46"/>
    </row>
    <row r="93" spans="1:10" ht="0.75" customHeight="1" hidden="1">
      <c r="A93" s="46"/>
      <c r="B93" s="25"/>
      <c r="J93" s="46"/>
    </row>
    <row r="94" spans="1:10" ht="0.75" customHeight="1" hidden="1">
      <c r="A94" s="46"/>
      <c r="B94" s="25"/>
      <c r="J94" s="46"/>
    </row>
    <row r="95" spans="1:10" ht="0.75" customHeight="1" hidden="1">
      <c r="A95" s="46"/>
      <c r="B95" s="25"/>
      <c r="J95" s="46"/>
    </row>
    <row r="96" spans="1:10" ht="0.75" customHeight="1">
      <c r="A96" s="46"/>
      <c r="B96" s="25"/>
      <c r="J96" s="46"/>
    </row>
    <row r="97" spans="1:10" ht="0.75" customHeight="1">
      <c r="A97" s="46"/>
      <c r="B97" s="25"/>
      <c r="J97" s="46"/>
    </row>
    <row r="98" spans="1:10" ht="0.75" customHeight="1">
      <c r="A98" s="46"/>
      <c r="B98" s="25"/>
      <c r="J98" s="46"/>
    </row>
    <row r="99" spans="1:10" ht="0.75" customHeight="1">
      <c r="A99" s="46"/>
      <c r="B99" s="25"/>
      <c r="J99" s="46"/>
    </row>
    <row r="100" spans="1:10" ht="19.5" customHeight="1">
      <c r="A100" s="46"/>
      <c r="B100" s="45" t="s">
        <v>178</v>
      </c>
      <c r="C100" s="17"/>
      <c r="D100" s="17"/>
      <c r="E100" s="17"/>
      <c r="F100" s="17"/>
      <c r="G100" s="17"/>
      <c r="H100" s="17"/>
      <c r="I100" s="17"/>
      <c r="J100" s="46"/>
    </row>
    <row r="101" spans="1:10" ht="24.75" customHeight="1">
      <c r="A101" s="46"/>
      <c r="B101" s="455" t="s">
        <v>294</v>
      </c>
      <c r="C101" s="455"/>
      <c r="D101" s="455"/>
      <c r="E101" s="455"/>
      <c r="F101" s="455"/>
      <c r="G101" s="455"/>
      <c r="H101" s="455"/>
      <c r="I101" s="455"/>
      <c r="J101" s="46"/>
    </row>
    <row r="102" spans="1:12" ht="31.5" customHeight="1">
      <c r="A102" s="46"/>
      <c r="B102" s="455" t="s">
        <v>240</v>
      </c>
      <c r="C102" s="455"/>
      <c r="D102" s="455"/>
      <c r="E102" s="455"/>
      <c r="F102" s="455"/>
      <c r="G102" s="455"/>
      <c r="H102" s="455"/>
      <c r="I102" s="455"/>
      <c r="J102" s="46"/>
      <c r="L102" s="138"/>
    </row>
    <row r="103" spans="1:12" ht="32.25" customHeight="1">
      <c r="A103" s="46"/>
      <c r="B103" s="455" t="s">
        <v>188</v>
      </c>
      <c r="C103" s="455"/>
      <c r="D103" s="455"/>
      <c r="E103" s="455"/>
      <c r="F103" s="455"/>
      <c r="G103" s="455"/>
      <c r="H103" s="455"/>
      <c r="I103" s="455"/>
      <c r="J103" s="46"/>
      <c r="L103" s="138"/>
    </row>
    <row r="104" spans="1:12" ht="22.5" customHeight="1">
      <c r="A104" s="46"/>
      <c r="B104" s="120" t="s">
        <v>186</v>
      </c>
      <c r="J104" s="46"/>
      <c r="L104" s="138"/>
    </row>
    <row r="105" spans="1:12" ht="5.25" customHeight="1">
      <c r="A105" s="46"/>
      <c r="B105" s="120"/>
      <c r="J105" s="46"/>
      <c r="L105" s="138"/>
    </row>
    <row r="106" spans="1:12" ht="13.5" customHeight="1">
      <c r="A106" s="46"/>
      <c r="B106" s="455" t="s">
        <v>244</v>
      </c>
      <c r="C106" s="455"/>
      <c r="D106" s="455"/>
      <c r="E106" s="455"/>
      <c r="F106" s="455"/>
      <c r="G106" s="455"/>
      <c r="H106" s="455"/>
      <c r="I106" s="455"/>
      <c r="J106" s="46"/>
      <c r="L106" s="138"/>
    </row>
    <row r="107" spans="1:12" ht="40.5" customHeight="1">
      <c r="A107" s="46"/>
      <c r="B107" s="455" t="s">
        <v>245</v>
      </c>
      <c r="C107" s="455"/>
      <c r="D107" s="455"/>
      <c r="E107" s="455"/>
      <c r="F107" s="455"/>
      <c r="G107" s="455"/>
      <c r="H107" s="455"/>
      <c r="I107" s="455"/>
      <c r="J107" s="46"/>
      <c r="L107" s="138"/>
    </row>
    <row r="108" spans="1:12" ht="32.25" customHeight="1">
      <c r="A108" s="46"/>
      <c r="B108" s="455" t="s">
        <v>295</v>
      </c>
      <c r="C108" s="455"/>
      <c r="D108" s="455"/>
      <c r="E108" s="455"/>
      <c r="F108" s="455"/>
      <c r="G108" s="455"/>
      <c r="H108" s="455"/>
      <c r="I108" s="455"/>
      <c r="J108" s="46"/>
      <c r="L108" s="138"/>
    </row>
    <row r="109" spans="1:12" ht="4.5" customHeight="1">
      <c r="A109" s="46"/>
      <c r="B109" s="120"/>
      <c r="J109" s="46"/>
      <c r="L109" s="138"/>
    </row>
    <row r="110" spans="1:12" ht="32.25" customHeight="1">
      <c r="A110" s="46"/>
      <c r="B110" s="455" t="s">
        <v>313</v>
      </c>
      <c r="C110" s="455"/>
      <c r="D110" s="455"/>
      <c r="E110" s="455"/>
      <c r="F110" s="455"/>
      <c r="G110" s="455"/>
      <c r="H110" s="455"/>
      <c r="I110" s="455"/>
      <c r="J110" s="46"/>
      <c r="L110" s="138"/>
    </row>
    <row r="111" spans="1:12" ht="6" customHeight="1">
      <c r="A111" s="46"/>
      <c r="B111" s="120"/>
      <c r="J111" s="46"/>
      <c r="L111" s="138"/>
    </row>
    <row r="112" spans="1:12" ht="29.25" customHeight="1">
      <c r="A112" s="46"/>
      <c r="B112" s="455" t="s">
        <v>308</v>
      </c>
      <c r="C112" s="455"/>
      <c r="D112" s="455"/>
      <c r="E112" s="455"/>
      <c r="F112" s="455"/>
      <c r="G112" s="455"/>
      <c r="H112" s="455"/>
      <c r="I112" s="455"/>
      <c r="J112" s="46"/>
      <c r="L112" s="138"/>
    </row>
    <row r="113" spans="1:12" ht="0.75" customHeight="1">
      <c r="A113" s="46"/>
      <c r="B113" s="120"/>
      <c r="J113" s="46"/>
      <c r="L113" s="138"/>
    </row>
    <row r="114" spans="1:12" ht="0.75" customHeight="1">
      <c r="A114" s="46"/>
      <c r="B114" s="120"/>
      <c r="J114" s="46"/>
      <c r="L114" s="138"/>
    </row>
    <row r="115" spans="1:12" ht="0.75" customHeight="1">
      <c r="A115" s="46"/>
      <c r="B115" s="120"/>
      <c r="J115" s="46"/>
      <c r="L115" s="138"/>
    </row>
    <row r="116" spans="1:12" ht="0.75" customHeight="1">
      <c r="A116" s="46"/>
      <c r="B116" s="120"/>
      <c r="J116" s="46"/>
      <c r="L116" s="138"/>
    </row>
    <row r="117" spans="1:12" ht="0.75" customHeight="1">
      <c r="A117" s="46"/>
      <c r="B117" s="120"/>
      <c r="J117" s="46"/>
      <c r="L117" s="138"/>
    </row>
    <row r="118" spans="1:12" ht="0.75" customHeight="1">
      <c r="A118" s="46"/>
      <c r="B118" s="120"/>
      <c r="J118" s="46"/>
      <c r="L118" s="138"/>
    </row>
    <row r="119" spans="1:12" ht="0.75" customHeight="1">
      <c r="A119" s="46"/>
      <c r="B119" s="120"/>
      <c r="J119" s="46"/>
      <c r="L119" s="138"/>
    </row>
    <row r="120" spans="1:12" ht="0.75" customHeight="1">
      <c r="A120" s="46"/>
      <c r="B120" s="120"/>
      <c r="J120" s="46"/>
      <c r="L120" s="138"/>
    </row>
    <row r="121" spans="1:12" ht="0.75" customHeight="1">
      <c r="A121" s="46"/>
      <c r="B121" s="120"/>
      <c r="J121" s="46"/>
      <c r="L121" s="138"/>
    </row>
    <row r="122" spans="1:12" ht="0.75" customHeight="1">
      <c r="A122" s="46"/>
      <c r="B122" s="120"/>
      <c r="J122" s="46"/>
      <c r="L122" s="138"/>
    </row>
    <row r="123" spans="1:12" ht="0.75" customHeight="1">
      <c r="A123" s="46"/>
      <c r="B123" s="120"/>
      <c r="J123" s="46"/>
      <c r="L123" s="138"/>
    </row>
    <row r="124" spans="1:10" ht="0.75" customHeight="1">
      <c r="A124" s="46"/>
      <c r="J124" s="46"/>
    </row>
    <row r="125" spans="1:10" ht="0.75" customHeight="1">
      <c r="A125" s="46"/>
      <c r="B125" s="120"/>
      <c r="J125" s="46"/>
    </row>
    <row r="126" spans="1:10" ht="28.5" customHeight="1">
      <c r="A126" s="46"/>
      <c r="B126" s="45" t="s">
        <v>317</v>
      </c>
      <c r="J126" s="46"/>
    </row>
    <row r="127" spans="1:10" ht="12.75">
      <c r="A127" s="46"/>
      <c r="B127" s="455" t="s">
        <v>322</v>
      </c>
      <c r="C127" s="455"/>
      <c r="D127" s="455"/>
      <c r="E127" s="455"/>
      <c r="F127" s="455"/>
      <c r="G127" s="455"/>
      <c r="H127" s="455"/>
      <c r="I127" s="455"/>
      <c r="J127" s="46"/>
    </row>
    <row r="128" spans="1:10" ht="12.75">
      <c r="A128" s="46"/>
      <c r="B128" s="455" t="s">
        <v>187</v>
      </c>
      <c r="C128" s="455"/>
      <c r="D128" s="455"/>
      <c r="E128" s="455"/>
      <c r="F128" s="455"/>
      <c r="G128" s="455"/>
      <c r="H128" s="455"/>
      <c r="I128" s="455"/>
      <c r="J128" s="46"/>
    </row>
    <row r="129" spans="1:10" ht="12.75">
      <c r="A129" s="46"/>
      <c r="B129" s="455" t="s">
        <v>246</v>
      </c>
      <c r="C129" s="455"/>
      <c r="D129" s="455"/>
      <c r="E129" s="455"/>
      <c r="F129" s="455"/>
      <c r="G129" s="455"/>
      <c r="H129" s="455"/>
      <c r="I129" s="455"/>
      <c r="J129" s="46"/>
    </row>
    <row r="130" spans="1:10" ht="12.75">
      <c r="A130" s="46"/>
      <c r="B130" s="455" t="s">
        <v>318</v>
      </c>
      <c r="C130" s="455"/>
      <c r="D130" s="455"/>
      <c r="E130" s="455"/>
      <c r="F130" s="455"/>
      <c r="G130" s="455"/>
      <c r="H130" s="455"/>
      <c r="I130" s="455"/>
      <c r="J130" s="46"/>
    </row>
    <row r="131" spans="1:10" ht="12.75">
      <c r="A131" s="46"/>
      <c r="B131" s="455" t="s">
        <v>321</v>
      </c>
      <c r="C131" s="455"/>
      <c r="D131" s="455"/>
      <c r="E131" s="455"/>
      <c r="F131" s="455"/>
      <c r="G131" s="455"/>
      <c r="H131" s="455"/>
      <c r="I131" s="455"/>
      <c r="J131" s="46"/>
    </row>
    <row r="132" spans="1:10" ht="12.75">
      <c r="A132" s="46"/>
      <c r="B132" s="455" t="s">
        <v>319</v>
      </c>
      <c r="C132" s="455"/>
      <c r="D132" s="455"/>
      <c r="E132" s="455"/>
      <c r="F132" s="455"/>
      <c r="G132" s="455"/>
      <c r="H132" s="455"/>
      <c r="I132" s="455"/>
      <c r="J132" s="46"/>
    </row>
    <row r="133" spans="1:10" ht="3.75" customHeight="1">
      <c r="A133" s="46"/>
      <c r="B133" s="17"/>
      <c r="C133" s="17"/>
      <c r="D133" s="17"/>
      <c r="E133" s="17"/>
      <c r="F133" s="17"/>
      <c r="G133" s="17"/>
      <c r="H133" s="17"/>
      <c r="I133" s="17"/>
      <c r="J133" s="46"/>
    </row>
    <row r="134" spans="1:10" ht="0.75" customHeight="1" hidden="1">
      <c r="A134" s="46"/>
      <c r="B134" s="17"/>
      <c r="C134" s="17"/>
      <c r="D134" s="17"/>
      <c r="E134" s="17"/>
      <c r="F134" s="17"/>
      <c r="G134" s="17"/>
      <c r="H134" s="17"/>
      <c r="I134" s="17"/>
      <c r="J134" s="46"/>
    </row>
    <row r="135" spans="1:10" ht="0.75" customHeight="1" hidden="1">
      <c r="A135" s="46"/>
      <c r="B135" s="17"/>
      <c r="C135" s="17"/>
      <c r="D135" s="17"/>
      <c r="E135" s="17"/>
      <c r="F135" s="17"/>
      <c r="G135" s="17"/>
      <c r="H135" s="17"/>
      <c r="I135" s="17"/>
      <c r="J135" s="46"/>
    </row>
    <row r="136" spans="1:10" ht="0.75" customHeight="1">
      <c r="A136" s="46"/>
      <c r="B136" s="17"/>
      <c r="C136" s="17"/>
      <c r="D136" s="17"/>
      <c r="E136" s="17"/>
      <c r="F136" s="17"/>
      <c r="G136" s="17"/>
      <c r="H136" s="17"/>
      <c r="I136" s="17"/>
      <c r="J136" s="46"/>
    </row>
    <row r="137" spans="1:10" ht="0.75" customHeight="1">
      <c r="A137" s="46"/>
      <c r="B137" s="17"/>
      <c r="C137" s="17"/>
      <c r="D137" s="17"/>
      <c r="E137" s="17"/>
      <c r="F137" s="17"/>
      <c r="G137" s="17"/>
      <c r="H137" s="17"/>
      <c r="I137" s="17"/>
      <c r="J137" s="46"/>
    </row>
    <row r="138" spans="1:10" ht="0.75" customHeight="1">
      <c r="A138" s="46"/>
      <c r="B138" s="17"/>
      <c r="C138" s="17"/>
      <c r="D138" s="17"/>
      <c r="E138" s="17"/>
      <c r="F138" s="17"/>
      <c r="G138" s="17"/>
      <c r="H138" s="17"/>
      <c r="I138" s="17"/>
      <c r="J138" s="46"/>
    </row>
    <row r="139" spans="1:10" ht="0.75" customHeight="1">
      <c r="A139" s="46"/>
      <c r="B139" s="17"/>
      <c r="J139" s="46"/>
    </row>
    <row r="140" spans="1:10" ht="11.25" customHeight="1">
      <c r="A140" s="46"/>
      <c r="B140" s="45" t="s">
        <v>181</v>
      </c>
      <c r="J140" s="46"/>
    </row>
    <row r="141" spans="1:10" ht="11.25" customHeight="1">
      <c r="A141" s="46"/>
      <c r="J141" s="46"/>
    </row>
    <row r="142" spans="1:10" ht="11.25" customHeight="1">
      <c r="A142" s="46"/>
      <c r="B142" s="455" t="s">
        <v>189</v>
      </c>
      <c r="C142" s="455"/>
      <c r="D142" s="455"/>
      <c r="E142" s="455"/>
      <c r="F142" s="455"/>
      <c r="G142" s="455"/>
      <c r="H142" s="455"/>
      <c r="I142" s="455"/>
      <c r="J142" s="46"/>
    </row>
    <row r="143" spans="1:10" ht="41.25" customHeight="1">
      <c r="A143" s="46"/>
      <c r="B143" s="455" t="s">
        <v>382</v>
      </c>
      <c r="C143" s="455"/>
      <c r="D143" s="455"/>
      <c r="E143" s="455"/>
      <c r="F143" s="455"/>
      <c r="G143" s="455"/>
      <c r="H143" s="455"/>
      <c r="I143" s="455"/>
      <c r="J143" s="46"/>
    </row>
    <row r="144" spans="1:10" ht="5.25" customHeight="1">
      <c r="A144" s="46"/>
      <c r="B144" s="17"/>
      <c r="C144" s="17"/>
      <c r="D144" s="17"/>
      <c r="E144" s="17"/>
      <c r="F144" s="17"/>
      <c r="G144" s="17"/>
      <c r="H144" s="17"/>
      <c r="I144" s="17"/>
      <c r="J144" s="46"/>
    </row>
    <row r="145" spans="1:10" ht="0.75" customHeight="1">
      <c r="A145" s="46"/>
      <c r="B145" s="17"/>
      <c r="C145" s="17"/>
      <c r="D145" s="17"/>
      <c r="E145" s="17"/>
      <c r="F145" s="17"/>
      <c r="G145" s="17"/>
      <c r="H145" s="17"/>
      <c r="I145" s="17"/>
      <c r="J145" s="46"/>
    </row>
    <row r="146" spans="1:10" ht="0.75" customHeight="1">
      <c r="A146" s="46"/>
      <c r="B146" s="17"/>
      <c r="C146" s="17"/>
      <c r="D146" s="17"/>
      <c r="E146" s="17"/>
      <c r="F146" s="17"/>
      <c r="G146" s="17"/>
      <c r="H146" s="17"/>
      <c r="I146" s="17"/>
      <c r="J146" s="46"/>
    </row>
    <row r="147" spans="1:10" ht="0.75" customHeight="1">
      <c r="A147" s="46"/>
      <c r="B147" s="17"/>
      <c r="C147" s="17"/>
      <c r="D147" s="17"/>
      <c r="E147" s="17"/>
      <c r="F147" s="17"/>
      <c r="G147" s="17"/>
      <c r="H147" s="17"/>
      <c r="I147" s="17"/>
      <c r="J147" s="46"/>
    </row>
    <row r="148" spans="1:10" ht="0.75" customHeight="1">
      <c r="A148" s="46"/>
      <c r="B148" s="17"/>
      <c r="C148" s="17"/>
      <c r="D148" s="17"/>
      <c r="E148" s="17"/>
      <c r="F148" s="17"/>
      <c r="G148" s="17"/>
      <c r="H148" s="17"/>
      <c r="I148" s="17"/>
      <c r="J148" s="46"/>
    </row>
    <row r="149" spans="1:10" ht="0.75" customHeight="1">
      <c r="A149" s="46"/>
      <c r="B149" s="17"/>
      <c r="C149" s="17"/>
      <c r="D149" s="17"/>
      <c r="E149" s="17"/>
      <c r="F149" s="17"/>
      <c r="G149" s="17"/>
      <c r="H149" s="17"/>
      <c r="I149" s="17"/>
      <c r="J149" s="46"/>
    </row>
    <row r="150" spans="1:10" ht="0.75" customHeight="1">
      <c r="A150" s="46"/>
      <c r="B150" s="17"/>
      <c r="C150" s="17"/>
      <c r="D150" s="17"/>
      <c r="E150" s="17"/>
      <c r="F150" s="17"/>
      <c r="G150" s="17"/>
      <c r="H150" s="17"/>
      <c r="I150" s="17"/>
      <c r="J150" s="46"/>
    </row>
    <row r="151" spans="1:10" ht="0.75" customHeight="1">
      <c r="A151" s="46"/>
      <c r="B151" s="17"/>
      <c r="C151" s="17"/>
      <c r="D151" s="17"/>
      <c r="E151" s="17"/>
      <c r="F151" s="17"/>
      <c r="G151" s="17"/>
      <c r="H151" s="17"/>
      <c r="I151" s="17"/>
      <c r="J151" s="46"/>
    </row>
    <row r="152" spans="1:10" ht="0.75" customHeight="1">
      <c r="A152" s="46"/>
      <c r="B152" s="17"/>
      <c r="C152" s="17"/>
      <c r="D152" s="17"/>
      <c r="E152" s="17"/>
      <c r="F152" s="17"/>
      <c r="G152" s="17"/>
      <c r="H152" s="17"/>
      <c r="I152" s="17"/>
      <c r="J152" s="46"/>
    </row>
    <row r="153" spans="1:10" ht="5.25" customHeight="1">
      <c r="A153" s="46"/>
      <c r="B153" s="45"/>
      <c r="J153" s="46"/>
    </row>
    <row r="154" spans="1:10" ht="11.25" customHeight="1">
      <c r="A154" s="46"/>
      <c r="B154" s="45" t="s">
        <v>247</v>
      </c>
      <c r="J154" s="46"/>
    </row>
    <row r="155" spans="1:10" ht="11.25" customHeight="1">
      <c r="A155" s="46"/>
      <c r="B155" s="45"/>
      <c r="J155" s="46"/>
    </row>
    <row r="156" spans="1:10" ht="13.5" customHeight="1">
      <c r="A156" s="46"/>
      <c r="B156" s="455" t="s">
        <v>323</v>
      </c>
      <c r="C156" s="455"/>
      <c r="D156" s="455"/>
      <c r="E156" s="455"/>
      <c r="F156" s="455"/>
      <c r="G156" s="455"/>
      <c r="H156" s="455"/>
      <c r="I156" s="455"/>
      <c r="J156" s="46"/>
    </row>
    <row r="157" spans="1:10" ht="13.5" customHeight="1">
      <c r="A157" s="46"/>
      <c r="B157" s="455" t="s">
        <v>296</v>
      </c>
      <c r="C157" s="455"/>
      <c r="D157" s="455"/>
      <c r="E157" s="455"/>
      <c r="F157" s="455"/>
      <c r="G157" s="455"/>
      <c r="H157" s="455"/>
      <c r="I157" s="455"/>
      <c r="J157" s="46"/>
    </row>
    <row r="158" spans="1:10" ht="16.5" customHeight="1">
      <c r="A158" s="46"/>
      <c r="B158" s="455" t="s">
        <v>383</v>
      </c>
      <c r="C158" s="455"/>
      <c r="D158" s="455"/>
      <c r="E158" s="455"/>
      <c r="F158" s="455"/>
      <c r="G158" s="455"/>
      <c r="H158" s="455"/>
      <c r="I158" s="455"/>
      <c r="J158" s="46"/>
    </row>
    <row r="159" spans="1:10" ht="13.5" customHeight="1">
      <c r="A159" s="46"/>
      <c r="B159" s="455" t="s">
        <v>324</v>
      </c>
      <c r="C159" s="455"/>
      <c r="D159" s="455"/>
      <c r="E159" s="455"/>
      <c r="F159" s="455"/>
      <c r="G159" s="455"/>
      <c r="H159" s="455"/>
      <c r="I159" s="455"/>
      <c r="J159" s="46"/>
    </row>
    <row r="160" spans="1:10" ht="7.5" customHeight="1">
      <c r="A160" s="46"/>
      <c r="B160" s="17"/>
      <c r="C160" s="17"/>
      <c r="D160" s="17"/>
      <c r="E160" s="17"/>
      <c r="F160" s="17"/>
      <c r="G160" s="17"/>
      <c r="H160" s="17"/>
      <c r="I160" s="17"/>
      <c r="J160" s="46"/>
    </row>
    <row r="161" spans="1:10" ht="0.75" customHeight="1" hidden="1">
      <c r="A161" s="46"/>
      <c r="B161" s="17"/>
      <c r="C161" s="17"/>
      <c r="D161" s="17"/>
      <c r="E161" s="17"/>
      <c r="F161" s="17"/>
      <c r="G161" s="17"/>
      <c r="H161" s="17"/>
      <c r="I161" s="17"/>
      <c r="J161" s="46"/>
    </row>
    <row r="162" spans="1:10" ht="0.75" customHeight="1">
      <c r="A162" s="46"/>
      <c r="B162" s="17"/>
      <c r="C162" s="17"/>
      <c r="D162" s="17"/>
      <c r="E162" s="17"/>
      <c r="F162" s="17"/>
      <c r="G162" s="17"/>
      <c r="H162" s="17"/>
      <c r="I162" s="17"/>
      <c r="J162" s="46"/>
    </row>
    <row r="163" spans="1:10" ht="0.75" customHeight="1">
      <c r="A163" s="46"/>
      <c r="B163" s="17"/>
      <c r="C163" s="17"/>
      <c r="D163" s="17"/>
      <c r="E163" s="17"/>
      <c r="F163" s="17"/>
      <c r="G163" s="17"/>
      <c r="H163" s="17"/>
      <c r="I163" s="17"/>
      <c r="J163" s="46"/>
    </row>
    <row r="164" spans="1:10" ht="0.75" customHeight="1">
      <c r="A164" s="46"/>
      <c r="B164" s="17"/>
      <c r="C164" s="17"/>
      <c r="D164" s="17"/>
      <c r="E164" s="17"/>
      <c r="F164" s="17"/>
      <c r="G164" s="17"/>
      <c r="H164" s="17"/>
      <c r="I164" s="17"/>
      <c r="J164" s="46"/>
    </row>
    <row r="165" spans="1:10" ht="0.75" customHeight="1">
      <c r="A165" s="46"/>
      <c r="B165" s="17"/>
      <c r="C165" s="17"/>
      <c r="D165" s="17"/>
      <c r="E165" s="17"/>
      <c r="F165" s="17"/>
      <c r="G165" s="17"/>
      <c r="H165" s="17"/>
      <c r="I165" s="17"/>
      <c r="J165" s="46"/>
    </row>
    <row r="166" spans="1:10" ht="0.75" customHeight="1">
      <c r="A166" s="46"/>
      <c r="B166" s="17"/>
      <c r="C166" s="17"/>
      <c r="D166" s="17"/>
      <c r="E166" s="17"/>
      <c r="F166" s="17"/>
      <c r="G166" s="17"/>
      <c r="H166" s="17"/>
      <c r="I166" s="17"/>
      <c r="J166" s="46"/>
    </row>
    <row r="167" spans="1:10" ht="0.75" customHeight="1">
      <c r="A167" s="46"/>
      <c r="B167" s="17"/>
      <c r="C167" s="17"/>
      <c r="D167" s="17"/>
      <c r="E167" s="17"/>
      <c r="F167" s="17"/>
      <c r="G167" s="17"/>
      <c r="H167" s="17"/>
      <c r="I167" s="17"/>
      <c r="J167" s="46"/>
    </row>
    <row r="168" spans="1:10" ht="0.75" customHeight="1">
      <c r="A168" s="46"/>
      <c r="B168" s="17"/>
      <c r="C168" s="17"/>
      <c r="D168" s="17"/>
      <c r="E168" s="17"/>
      <c r="F168" s="17"/>
      <c r="G168" s="17"/>
      <c r="H168" s="17"/>
      <c r="I168" s="17"/>
      <c r="J168" s="46"/>
    </row>
    <row r="169" spans="1:10" ht="0.75" customHeight="1">
      <c r="A169" s="46"/>
      <c r="B169" s="17"/>
      <c r="C169" s="17"/>
      <c r="D169" s="17"/>
      <c r="E169" s="17"/>
      <c r="F169" s="17"/>
      <c r="G169" s="17"/>
      <c r="H169" s="17"/>
      <c r="I169" s="17"/>
      <c r="J169" s="46"/>
    </row>
    <row r="170" spans="1:10" ht="0.75" customHeight="1">
      <c r="A170" s="46"/>
      <c r="B170" s="17"/>
      <c r="C170" s="17"/>
      <c r="D170" s="17"/>
      <c r="E170" s="17"/>
      <c r="F170" s="17"/>
      <c r="G170" s="17"/>
      <c r="H170" s="17"/>
      <c r="I170" s="17"/>
      <c r="J170" s="46"/>
    </row>
    <row r="171" spans="1:10" ht="6" customHeight="1">
      <c r="A171" s="46"/>
      <c r="J171" s="46"/>
    </row>
    <row r="172" spans="1:10" ht="18" customHeight="1">
      <c r="A172" s="46"/>
      <c r="B172" s="45" t="s">
        <v>248</v>
      </c>
      <c r="J172" s="46"/>
    </row>
    <row r="173" spans="1:10" ht="5.25" customHeight="1">
      <c r="A173" s="46"/>
      <c r="B173" s="45"/>
      <c r="J173" s="46"/>
    </row>
    <row r="174" spans="1:10" ht="4.5" customHeight="1">
      <c r="A174" s="46"/>
      <c r="B174" s="45"/>
      <c r="J174" s="46"/>
    </row>
    <row r="175" spans="1:10" ht="13.5" customHeight="1">
      <c r="A175" s="46"/>
      <c r="B175" s="25" t="s">
        <v>297</v>
      </c>
      <c r="J175" s="46"/>
    </row>
    <row r="176" spans="1:10" ht="13.5" customHeight="1">
      <c r="A176" s="46"/>
      <c r="B176" s="25" t="s">
        <v>237</v>
      </c>
      <c r="J176" s="46"/>
    </row>
    <row r="177" spans="1:10" ht="13.5" customHeight="1">
      <c r="A177" s="46"/>
      <c r="B177" s="25" t="s">
        <v>238</v>
      </c>
      <c r="J177" s="46"/>
    </row>
    <row r="178" spans="1:10" ht="13.5" customHeight="1">
      <c r="A178" s="46"/>
      <c r="B178" s="25" t="s">
        <v>156</v>
      </c>
      <c r="J178" s="46"/>
    </row>
    <row r="179" spans="1:10" ht="13.5" customHeight="1">
      <c r="A179" s="46"/>
      <c r="B179" s="25" t="s">
        <v>142</v>
      </c>
      <c r="J179" s="46"/>
    </row>
    <row r="180" spans="1:10" ht="13.5" customHeight="1">
      <c r="A180" s="46"/>
      <c r="B180" s="25" t="s">
        <v>298</v>
      </c>
      <c r="J180" s="46"/>
    </row>
    <row r="181" spans="1:10" ht="2.25" customHeight="1">
      <c r="A181" s="46"/>
      <c r="J181" s="46"/>
    </row>
    <row r="182" spans="1:10" ht="2.25" customHeight="1">
      <c r="A182" s="46"/>
      <c r="B182" s="120"/>
      <c r="J182" s="46"/>
    </row>
    <row r="183" spans="1:10" ht="13.5" customHeight="1">
      <c r="A183" s="46"/>
      <c r="B183" s="1" t="s">
        <v>249</v>
      </c>
      <c r="J183" s="46"/>
    </row>
    <row r="184" spans="1:10" ht="13.5" customHeight="1">
      <c r="A184" s="46"/>
      <c r="B184" s="1" t="s">
        <v>250</v>
      </c>
      <c r="J184" s="46"/>
    </row>
    <row r="185" spans="1:10" ht="13.5" customHeight="1">
      <c r="A185" s="46"/>
      <c r="B185" s="1" t="s">
        <v>314</v>
      </c>
      <c r="J185" s="46"/>
    </row>
    <row r="186" spans="1:10" ht="11.25" customHeight="1">
      <c r="A186" s="46"/>
      <c r="B186" s="1" t="s">
        <v>384</v>
      </c>
      <c r="J186" s="46"/>
    </row>
    <row r="187" spans="1:10" ht="39" customHeight="1">
      <c r="A187" s="46"/>
      <c r="B187" s="456" t="s">
        <v>385</v>
      </c>
      <c r="C187" s="457"/>
      <c r="D187" s="457"/>
      <c r="E187" s="457"/>
      <c r="F187" s="457"/>
      <c r="G187" s="457"/>
      <c r="H187" s="457"/>
      <c r="I187" s="457"/>
      <c r="J187" s="46"/>
    </row>
    <row r="188" spans="1:10" ht="8.25" customHeight="1">
      <c r="A188" s="46"/>
      <c r="B188" s="46"/>
      <c r="C188" s="46"/>
      <c r="D188" s="46"/>
      <c r="E188" s="46"/>
      <c r="F188" s="46"/>
      <c r="G188" s="46"/>
      <c r="H188" s="46"/>
      <c r="I188" s="46"/>
      <c r="J188" s="46"/>
    </row>
    <row r="189" ht="8.25" customHeight="1"/>
  </sheetData>
  <sheetProtection sheet="1" objects="1" scenarios="1"/>
  <mergeCells count="32">
    <mergeCell ref="B69:I69"/>
    <mergeCell ref="B6:H6"/>
    <mergeCell ref="C8:H8"/>
    <mergeCell ref="B20:C20"/>
    <mergeCell ref="C30:E30"/>
    <mergeCell ref="F30:G30"/>
    <mergeCell ref="F20:G20"/>
    <mergeCell ref="B127:I127"/>
    <mergeCell ref="B128:I128"/>
    <mergeCell ref="B129:I129"/>
    <mergeCell ref="B108:I108"/>
    <mergeCell ref="B110:I110"/>
    <mergeCell ref="B132:I132"/>
    <mergeCell ref="B142:I142"/>
    <mergeCell ref="B71:I71"/>
    <mergeCell ref="B101:I101"/>
    <mergeCell ref="B72:I72"/>
    <mergeCell ref="B73:I73"/>
    <mergeCell ref="B102:I102"/>
    <mergeCell ref="B130:I130"/>
    <mergeCell ref="B131:I131"/>
    <mergeCell ref="B112:I112"/>
    <mergeCell ref="B187:I187"/>
    <mergeCell ref="B159:I159"/>
    <mergeCell ref="B67:I67"/>
    <mergeCell ref="B143:I143"/>
    <mergeCell ref="B156:I156"/>
    <mergeCell ref="B157:I157"/>
    <mergeCell ref="B158:I158"/>
    <mergeCell ref="B107:I107"/>
    <mergeCell ref="B106:I106"/>
    <mergeCell ref="B103:I103"/>
  </mergeCells>
  <hyperlinks>
    <hyperlink ref="C8" r:id="rId1" display="www.mlr.baden-wuerttemberg.de/mlr/bro/Kurzumtriebsflaechen.pdf"/>
    <hyperlink ref="B18" r:id="rId2" display="javascript:linkTo_UnCryptMailto('ocknvq,Uvghhgp0MckugtBnvb0dyn0fg');"/>
    <hyperlink ref="F18" r:id="rId3" display="javascript:linkTo_UnCryptMailto('ocknvq,Ocz0VjkgnBnvb0dyn0fg');"/>
    <hyperlink ref="C30" r:id="rId4" display="www.LTZ-Augustenberg.de"/>
    <hyperlink ref="F30" r:id="rId5" display="www.fva-bw.de"/>
    <hyperlink ref="C36" r:id="rId6" display="http://landwirtschaft.bwl.de/servlet/PB/menu/1232384/index.html"/>
    <hyperlink ref="C39" r:id="rId7" display="www.carmen-ev.de"/>
    <hyperlink ref="C42" r:id="rId8" display="www.agrowood.de"/>
    <hyperlink ref="C45" r:id="rId9" display="www.nachwachsenderohstoffe.de"/>
    <hyperlink ref="C48" r:id="rId10" display="www.kup-netzwerk.info/de/start.html"/>
    <hyperlink ref="C51" r:id="rId11" display="www.hero-hessen.de"/>
    <hyperlink ref="C54" r:id="rId12" display="www.schnellwachsendebaumarten.de"/>
    <hyperlink ref="C57" r:id="rId13" display="www.landwirtschaft.sachsen.de/landwirtschaft/7099.htm"/>
    <hyperlink ref="C60" r:id="rId14" display="www.thueringen.de/de/tll/pflanzenproduktion/bioenergie/"/>
    <hyperlink ref="C65" r:id="rId15" display="www.duesse.de/znr/dokumentation/2009-06-18-kurzumtriebsplantagen.htm"/>
    <hyperlink ref="H3" location="Eingabe_u_Ergebnisübersicht!A1" display="Dateneingabe"/>
  </hyperlinks>
  <printOptions/>
  <pageMargins left="0.75" right="0.75" top="1" bottom="1" header="0.4921259845" footer="0.4921259845"/>
  <pageSetup fitToHeight="0" fitToWidth="1" horizontalDpi="1200" verticalDpi="1200" orientation="portrait" paperSize="9" scale="88" r:id="rId17"/>
  <headerFooter alignWithMargins="0">
    <oddFooter>&amp;LKUP-Rechner;  LTZ / LEL&amp;C&amp;F&amp;R&amp;A</oddFooter>
  </headerFooter>
  <rowBreaks count="3" manualBreakCount="3">
    <brk id="31" min="1" max="8" man="1"/>
    <brk id="67" min="1" max="8" man="1"/>
    <brk id="125" min="1" max="8" man="1"/>
  </rowBreaks>
  <drawing r:id="rId16"/>
</worksheet>
</file>

<file path=xl/worksheets/sheet3.xml><?xml version="1.0" encoding="utf-8"?>
<worksheet xmlns="http://schemas.openxmlformats.org/spreadsheetml/2006/main" xmlns:r="http://schemas.openxmlformats.org/officeDocument/2006/relationships">
  <sheetPr codeName="Tabelle11"/>
  <dimension ref="A1:AL36"/>
  <sheetViews>
    <sheetView showGridLines="0" zoomScale="93" zoomScaleNormal="93" workbookViewId="0" topLeftCell="A1">
      <selection activeCell="C2" sqref="C2"/>
    </sheetView>
  </sheetViews>
  <sheetFormatPr defaultColWidth="11.421875" defaultRowHeight="12.75"/>
  <cols>
    <col min="1" max="1" width="1.1484375" style="0" customWidth="1"/>
    <col min="2" max="2" width="8.140625" style="0" customWidth="1"/>
    <col min="3" max="3" width="11.421875" style="1" customWidth="1"/>
    <col min="5" max="5" width="12.421875" style="0" customWidth="1"/>
    <col min="6" max="6" width="8.28125" style="0" customWidth="1"/>
    <col min="7" max="7" width="8.7109375" style="0" customWidth="1"/>
    <col min="8" max="8" width="3.7109375" style="0" customWidth="1"/>
    <col min="9" max="9" width="0.85546875" style="0" customWidth="1"/>
    <col min="10" max="10" width="9.7109375" style="0" customWidth="1"/>
    <col min="12" max="12" width="9.00390625" style="0" customWidth="1"/>
    <col min="13" max="13" width="12.00390625" style="0" customWidth="1"/>
    <col min="14" max="14" width="10.421875" style="0" customWidth="1"/>
    <col min="15" max="15" width="0.5625" style="0" customWidth="1"/>
    <col min="16" max="16" width="8.7109375" style="0" customWidth="1"/>
    <col min="17" max="18" width="0.71875" style="0" customWidth="1"/>
    <col min="21" max="21" width="13.7109375" style="0" customWidth="1"/>
  </cols>
  <sheetData>
    <row r="1" spans="1:17" ht="3" customHeight="1">
      <c r="A1" s="46"/>
      <c r="B1" s="46"/>
      <c r="C1" s="46"/>
      <c r="D1" s="46"/>
      <c r="E1" s="46"/>
      <c r="F1" s="46"/>
      <c r="G1" s="46"/>
      <c r="H1" s="46"/>
      <c r="I1" s="46"/>
      <c r="J1" s="46"/>
      <c r="K1" s="46"/>
      <c r="L1" s="46"/>
      <c r="M1" s="46"/>
      <c r="N1" s="46"/>
      <c r="O1" s="46"/>
      <c r="P1" s="46"/>
      <c r="Q1" s="46"/>
    </row>
    <row r="2" spans="1:22" ht="24" customHeight="1">
      <c r="A2" s="46"/>
      <c r="E2" s="454" t="s">
        <v>402</v>
      </c>
      <c r="F2" s="450"/>
      <c r="G2" s="450"/>
      <c r="H2" s="450"/>
      <c r="I2" s="450"/>
      <c r="J2" s="450"/>
      <c r="K2" s="450"/>
      <c r="L2" s="451" t="str">
        <f>Infos_zum_Rechner!G2</f>
        <v>Vers. 1.0</v>
      </c>
      <c r="M2" s="452"/>
      <c r="N2" s="115" t="s">
        <v>108</v>
      </c>
      <c r="O2" s="280"/>
      <c r="P2" s="449">
        <f>Infos_zum_Rechner!I2</f>
        <v>40518</v>
      </c>
      <c r="Q2" s="332"/>
      <c r="V2" s="98" t="s">
        <v>261</v>
      </c>
    </row>
    <row r="3" spans="1:17" ht="27" customHeight="1" thickBot="1">
      <c r="A3" s="46"/>
      <c r="B3" s="340"/>
      <c r="C3"/>
      <c r="D3" s="453" t="s">
        <v>401</v>
      </c>
      <c r="F3" s="452"/>
      <c r="G3" s="452"/>
      <c r="H3" s="452"/>
      <c r="I3" s="452"/>
      <c r="J3" s="452"/>
      <c r="K3" s="452"/>
      <c r="L3" s="452"/>
      <c r="M3" s="452"/>
      <c r="Q3" s="332"/>
    </row>
    <row r="4" spans="1:19" ht="14.25" thickBot="1" thickTop="1">
      <c r="A4" s="46"/>
      <c r="B4" s="252" t="s">
        <v>135</v>
      </c>
      <c r="C4" s="114" t="s">
        <v>146</v>
      </c>
      <c r="D4" s="42"/>
      <c r="E4" s="42"/>
      <c r="F4" s="42"/>
      <c r="G4" s="191" t="s">
        <v>143</v>
      </c>
      <c r="H4" s="191"/>
      <c r="I4" s="191"/>
      <c r="J4" s="191"/>
      <c r="K4" s="191"/>
      <c r="L4" s="202"/>
      <c r="M4" s="202" t="s">
        <v>255</v>
      </c>
      <c r="N4" s="191">
        <v>2011</v>
      </c>
      <c r="O4" s="323"/>
      <c r="P4" s="327" t="s">
        <v>147</v>
      </c>
      <c r="Q4" s="331"/>
      <c r="S4" s="199" t="s">
        <v>216</v>
      </c>
    </row>
    <row r="5" spans="1:17" ht="9.75" customHeight="1" thickBot="1" thickTop="1">
      <c r="A5" s="46"/>
      <c r="B5" s="20"/>
      <c r="C5" s="98"/>
      <c r="D5" s="18"/>
      <c r="E5" s="18"/>
      <c r="F5" s="18"/>
      <c r="G5" s="18"/>
      <c r="H5" s="18"/>
      <c r="I5" s="18"/>
      <c r="J5" s="18"/>
      <c r="K5" s="18"/>
      <c r="L5" s="18"/>
      <c r="M5" s="18"/>
      <c r="N5" s="18"/>
      <c r="O5" s="154"/>
      <c r="P5" s="328" t="s">
        <v>49</v>
      </c>
      <c r="Q5" s="331"/>
    </row>
    <row r="6" spans="1:17" ht="15" customHeight="1" thickBot="1" thickTop="1">
      <c r="A6" s="46"/>
      <c r="B6" s="100" t="s">
        <v>45</v>
      </c>
      <c r="C6" s="98" t="s">
        <v>131</v>
      </c>
      <c r="D6" s="18"/>
      <c r="E6" s="18"/>
      <c r="F6" s="23">
        <v>3</v>
      </c>
      <c r="G6" s="18" t="s">
        <v>47</v>
      </c>
      <c r="H6" s="18"/>
      <c r="I6" s="18"/>
      <c r="J6" s="251" t="s">
        <v>208</v>
      </c>
      <c r="K6" s="98" t="s">
        <v>141</v>
      </c>
      <c r="L6" s="18"/>
      <c r="M6" s="142">
        <v>10</v>
      </c>
      <c r="N6" s="127" t="s">
        <v>342</v>
      </c>
      <c r="O6" s="154"/>
      <c r="P6" s="18"/>
      <c r="Q6" s="331"/>
    </row>
    <row r="7" spans="1:17" ht="15" customHeight="1" thickBot="1" thickTop="1">
      <c r="A7" s="46"/>
      <c r="B7" s="100" t="s">
        <v>45</v>
      </c>
      <c r="C7" s="98" t="s">
        <v>90</v>
      </c>
      <c r="D7" s="18"/>
      <c r="E7" s="103" t="s">
        <v>140</v>
      </c>
      <c r="F7" s="23">
        <v>7</v>
      </c>
      <c r="G7" s="18" t="s">
        <v>48</v>
      </c>
      <c r="H7" s="18"/>
      <c r="I7" s="156"/>
      <c r="J7" s="254" t="s">
        <v>121</v>
      </c>
      <c r="K7" s="255" t="s">
        <v>98</v>
      </c>
      <c r="L7" s="175"/>
      <c r="M7" s="256">
        <v>52</v>
      </c>
      <c r="N7" s="175" t="s">
        <v>327</v>
      </c>
      <c r="O7" s="324"/>
      <c r="P7" s="462">
        <v>0.01</v>
      </c>
      <c r="Q7" s="331"/>
    </row>
    <row r="8" spans="1:38" ht="15" customHeight="1" thickBot="1">
      <c r="A8" s="46"/>
      <c r="B8" s="100" t="s">
        <v>111</v>
      </c>
      <c r="C8" s="98" t="s">
        <v>233</v>
      </c>
      <c r="D8" s="18"/>
      <c r="E8" s="18"/>
      <c r="F8" s="113">
        <f>Eingabe_u_Ergebnisübersicht!F6*Eingabe_u_Ergebnisübersicht!F7</f>
        <v>21</v>
      </c>
      <c r="G8" s="18" t="s">
        <v>47</v>
      </c>
      <c r="H8" s="18"/>
      <c r="I8" s="155"/>
      <c r="J8" s="258"/>
      <c r="K8" s="259" t="s">
        <v>329</v>
      </c>
      <c r="L8" s="260">
        <v>0.35</v>
      </c>
      <c r="M8" s="261">
        <f>(M7/(100%-L8)*100%)</f>
        <v>80</v>
      </c>
      <c r="N8" s="258" t="s">
        <v>328</v>
      </c>
      <c r="O8" s="325"/>
      <c r="P8" s="464"/>
      <c r="Q8" s="331"/>
      <c r="AH8" s="124"/>
      <c r="AI8" s="42" t="s">
        <v>160</v>
      </c>
      <c r="AJ8" s="42"/>
      <c r="AK8" s="42"/>
      <c r="AL8" s="19"/>
    </row>
    <row r="9" spans="1:38" ht="12.75" customHeight="1" thickTop="1">
      <c r="A9" s="46"/>
      <c r="B9" s="20"/>
      <c r="C9" s="201">
        <f>IF(F8&gt;21,"Excel-Zelle F6 oder F7 ändern: maximal rechenbare Standzeit =21 Jahre !!","")</f>
      </c>
      <c r="D9" s="18"/>
      <c r="E9" s="18"/>
      <c r="F9" s="18"/>
      <c r="G9" s="18"/>
      <c r="H9" s="18"/>
      <c r="I9" s="18"/>
      <c r="J9" s="252" t="s">
        <v>124</v>
      </c>
      <c r="K9" s="253" t="s">
        <v>194</v>
      </c>
      <c r="L9" s="18"/>
      <c r="M9" s="307">
        <v>285</v>
      </c>
      <c r="N9" s="139" t="s">
        <v>51</v>
      </c>
      <c r="O9" s="154"/>
      <c r="Q9" s="331"/>
      <c r="AH9" s="20"/>
      <c r="AI9" s="18"/>
      <c r="AJ9" s="18"/>
      <c r="AK9" s="18"/>
      <c r="AL9" s="21"/>
    </row>
    <row r="10" spans="1:38" ht="12.75" customHeight="1">
      <c r="A10" s="46"/>
      <c r="B10" s="100" t="s">
        <v>119</v>
      </c>
      <c r="C10" s="98" t="s">
        <v>50</v>
      </c>
      <c r="D10" s="18"/>
      <c r="E10" s="18"/>
      <c r="F10" s="305">
        <v>130</v>
      </c>
      <c r="G10" s="139" t="s">
        <v>51</v>
      </c>
      <c r="H10" s="29"/>
      <c r="I10" s="18"/>
      <c r="J10" s="100" t="s">
        <v>124</v>
      </c>
      <c r="K10" s="98" t="s">
        <v>195</v>
      </c>
      <c r="L10" s="18"/>
      <c r="M10" s="308">
        <v>250</v>
      </c>
      <c r="N10" s="139" t="s">
        <v>51</v>
      </c>
      <c r="O10" s="154"/>
      <c r="P10" s="18"/>
      <c r="Q10" s="331"/>
      <c r="S10" s="468" t="str">
        <f>"(Ø="&amp;ROUND(Berechnungen!Z30,0)&amp;"€)"</f>
        <v>(Ø=210€)</v>
      </c>
      <c r="AH10" s="20"/>
      <c r="AI10" s="18"/>
      <c r="AJ10" s="18"/>
      <c r="AK10" s="18"/>
      <c r="AL10" s="21"/>
    </row>
    <row r="11" spans="1:38" ht="12" customHeight="1">
      <c r="A11" s="46"/>
      <c r="B11" s="100" t="s">
        <v>120</v>
      </c>
      <c r="C11" s="98" t="s">
        <v>52</v>
      </c>
      <c r="D11" s="18"/>
      <c r="E11" s="18"/>
      <c r="F11" s="305">
        <v>50</v>
      </c>
      <c r="G11" s="139" t="s">
        <v>51</v>
      </c>
      <c r="H11" s="29"/>
      <c r="I11" s="18"/>
      <c r="J11" s="100" t="s">
        <v>124</v>
      </c>
      <c r="K11" s="98" t="s">
        <v>196</v>
      </c>
      <c r="L11" s="18"/>
      <c r="M11" s="308">
        <v>200</v>
      </c>
      <c r="N11" s="139" t="s">
        <v>51</v>
      </c>
      <c r="O11" s="154"/>
      <c r="P11" s="18"/>
      <c r="Q11" s="331"/>
      <c r="S11" s="468"/>
      <c r="AH11" s="20"/>
      <c r="AI11" s="18"/>
      <c r="AJ11" s="18"/>
      <c r="AK11" s="18"/>
      <c r="AL11" s="21"/>
    </row>
    <row r="12" spans="1:38" ht="15" customHeight="1" thickBot="1">
      <c r="A12" s="46"/>
      <c r="B12" s="100" t="s">
        <v>112</v>
      </c>
      <c r="C12" s="98" t="s">
        <v>53</v>
      </c>
      <c r="D12" s="18"/>
      <c r="E12" s="18"/>
      <c r="F12" s="305">
        <v>1440</v>
      </c>
      <c r="G12" s="139" t="s">
        <v>51</v>
      </c>
      <c r="H12" s="29"/>
      <c r="I12" s="29"/>
      <c r="J12" s="100" t="s">
        <v>124</v>
      </c>
      <c r="K12" s="98" t="s">
        <v>197</v>
      </c>
      <c r="L12" s="116"/>
      <c r="M12" s="309">
        <v>100</v>
      </c>
      <c r="N12" s="139" t="s">
        <v>51</v>
      </c>
      <c r="O12" s="154"/>
      <c r="P12" s="18"/>
      <c r="Q12" s="331"/>
      <c r="S12" s="235">
        <f>IF(AND(F6&gt;AK12,M13&lt;AK14),"!! Bei Umtriebszeiten ab 4 Jahren können je nach Standort u. Baumart bereits Stammdurchmesser von 15 cm erreicht werden; In diesem Fall ist eine teurere Erntetechnik (z.B. Fäller-Bündler-Verfahren oder teilmanuelle Ernte) erforderlich.","")</f>
      </c>
      <c r="T12" s="123"/>
      <c r="AH12" s="20"/>
      <c r="AI12" s="18"/>
      <c r="AJ12" s="115" t="s">
        <v>164</v>
      </c>
      <c r="AK12" s="131">
        <v>3</v>
      </c>
      <c r="AL12" s="125" t="s">
        <v>47</v>
      </c>
    </row>
    <row r="13" spans="1:38" ht="15" customHeight="1" thickTop="1">
      <c r="A13" s="46"/>
      <c r="B13" s="100" t="s">
        <v>113</v>
      </c>
      <c r="C13" s="98" t="s">
        <v>54</v>
      </c>
      <c r="D13" s="18"/>
      <c r="E13" s="18"/>
      <c r="F13" s="305">
        <v>560</v>
      </c>
      <c r="G13" s="139" t="s">
        <v>51</v>
      </c>
      <c r="H13" s="29"/>
      <c r="I13" s="29"/>
      <c r="J13" s="100" t="s">
        <v>125</v>
      </c>
      <c r="K13" s="315" t="s">
        <v>56</v>
      </c>
      <c r="L13" s="316">
        <f>IF(AND(F6&gt;AK12,M13&lt;AK14),"prüfen","")</f>
      </c>
      <c r="M13" s="317">
        <v>20</v>
      </c>
      <c r="N13" s="319" t="s">
        <v>335</v>
      </c>
      <c r="O13" s="326"/>
      <c r="P13" s="462">
        <v>0.01</v>
      </c>
      <c r="Q13" s="331"/>
      <c r="S13" s="333" t="str">
        <f>"(="&amp;ROUND(Berechnungen!AA31,0)&amp;" € /Ernte u.ha)"</f>
        <v>(=600 € /Ernte u.ha)</v>
      </c>
      <c r="AH13" s="20"/>
      <c r="AI13" s="18"/>
      <c r="AJ13" s="115" t="s">
        <v>165</v>
      </c>
      <c r="AK13" s="126">
        <f>M13</f>
        <v>20</v>
      </c>
      <c r="AL13" s="125" t="s">
        <v>134</v>
      </c>
    </row>
    <row r="14" spans="1:38" ht="15" customHeight="1">
      <c r="A14" s="46"/>
      <c r="B14" s="100" t="s">
        <v>114</v>
      </c>
      <c r="C14" s="98" t="s">
        <v>133</v>
      </c>
      <c r="D14" s="18"/>
      <c r="E14" s="18"/>
      <c r="F14" s="305">
        <v>100</v>
      </c>
      <c r="G14" s="139" t="s">
        <v>51</v>
      </c>
      <c r="H14" s="29"/>
      <c r="I14" s="18"/>
      <c r="J14" s="100" t="s">
        <v>122</v>
      </c>
      <c r="K14" s="98" t="s">
        <v>94</v>
      </c>
      <c r="L14" s="18"/>
      <c r="M14" s="310">
        <v>5</v>
      </c>
      <c r="N14" s="320" t="s">
        <v>335</v>
      </c>
      <c r="O14" s="154"/>
      <c r="P14" s="463"/>
      <c r="Q14" s="331"/>
      <c r="S14" s="333" t="str">
        <f>"(="&amp;ROUND(Berechnungen!AB31,0)&amp;" € /Ernte u.ha)"</f>
        <v>(=150 € /Ernte u.ha)</v>
      </c>
      <c r="AH14" s="20"/>
      <c r="AI14" s="18"/>
      <c r="AJ14" s="115" t="s">
        <v>166</v>
      </c>
      <c r="AK14" s="126">
        <v>70</v>
      </c>
      <c r="AL14" s="125" t="s">
        <v>134</v>
      </c>
    </row>
    <row r="15" spans="1:38" ht="15" customHeight="1">
      <c r="A15" s="46"/>
      <c r="B15" s="100" t="s">
        <v>115</v>
      </c>
      <c r="C15" s="98" t="s">
        <v>55</v>
      </c>
      <c r="D15" s="18"/>
      <c r="E15" s="18"/>
      <c r="F15" s="305">
        <v>180</v>
      </c>
      <c r="G15" s="139" t="s">
        <v>51</v>
      </c>
      <c r="H15" s="29"/>
      <c r="I15" s="29"/>
      <c r="J15" s="100" t="s">
        <v>209</v>
      </c>
      <c r="K15" s="98" t="s">
        <v>96</v>
      </c>
      <c r="L15" s="18"/>
      <c r="M15" s="310">
        <v>10</v>
      </c>
      <c r="N15" s="320" t="s">
        <v>335</v>
      </c>
      <c r="O15" s="154"/>
      <c r="P15" s="463"/>
      <c r="Q15" s="331"/>
      <c r="S15" s="333" t="str">
        <f>"(="&amp;ROUND(Berechnungen!AC31,0)&amp;" € /Ernte u.ha)"</f>
        <v>(=300 € /Ernte u.ha)</v>
      </c>
      <c r="AH15" s="20" t="s">
        <v>161</v>
      </c>
      <c r="AI15" s="98" t="s">
        <v>168</v>
      </c>
      <c r="AK15" s="18"/>
      <c r="AL15" s="21"/>
    </row>
    <row r="16" spans="1:38" ht="15" customHeight="1" thickBot="1">
      <c r="A16" s="46"/>
      <c r="B16" s="20"/>
      <c r="C16" s="97" t="s">
        <v>104</v>
      </c>
      <c r="D16" s="96"/>
      <c r="E16" s="96"/>
      <c r="F16" s="338">
        <f>SUM(F10:F15)</f>
        <v>2460</v>
      </c>
      <c r="G16" s="96" t="s">
        <v>51</v>
      </c>
      <c r="H16" s="18"/>
      <c r="I16" s="29"/>
      <c r="J16" s="100" t="s">
        <v>123</v>
      </c>
      <c r="K16" s="98" t="s">
        <v>95</v>
      </c>
      <c r="L16" s="18"/>
      <c r="M16" s="310">
        <v>150</v>
      </c>
      <c r="N16" s="321" t="s">
        <v>332</v>
      </c>
      <c r="O16" s="154"/>
      <c r="P16" s="463"/>
      <c r="Q16" s="331"/>
      <c r="S16" s="123"/>
      <c r="V16">
        <v>2010</v>
      </c>
      <c r="AH16" s="20"/>
      <c r="AI16" s="98" t="s">
        <v>167</v>
      </c>
      <c r="AJ16" s="18"/>
      <c r="AK16" s="18"/>
      <c r="AL16" s="21"/>
    </row>
    <row r="17" spans="1:38" ht="15" customHeight="1" thickBot="1" thickTop="1">
      <c r="A17" s="46"/>
      <c r="B17" s="100" t="s">
        <v>116</v>
      </c>
      <c r="C17" s="98" t="s">
        <v>58</v>
      </c>
      <c r="D17" s="18"/>
      <c r="F17" s="305">
        <v>1000</v>
      </c>
      <c r="G17" s="139" t="s">
        <v>51</v>
      </c>
      <c r="H17" s="200"/>
      <c r="I17" s="29"/>
      <c r="J17" s="250" t="s">
        <v>210</v>
      </c>
      <c r="K17" s="312" t="s">
        <v>93</v>
      </c>
      <c r="L17" s="313"/>
      <c r="M17" s="314">
        <v>35</v>
      </c>
      <c r="N17" s="322" t="s">
        <v>332</v>
      </c>
      <c r="O17" s="154"/>
      <c r="P17" s="464"/>
      <c r="Q17" s="331"/>
      <c r="S17" s="123"/>
      <c r="V17">
        <v>2011</v>
      </c>
      <c r="AH17" s="20"/>
      <c r="AI17" s="18"/>
      <c r="AJ17" s="18"/>
      <c r="AK17" s="18"/>
      <c r="AL17" s="21"/>
    </row>
    <row r="18" spans="1:38" ht="15" customHeight="1" thickBot="1" thickTop="1">
      <c r="A18" s="46"/>
      <c r="B18" s="100" t="s">
        <v>117</v>
      </c>
      <c r="C18" s="98" t="s">
        <v>97</v>
      </c>
      <c r="D18" s="18"/>
      <c r="E18" s="18"/>
      <c r="F18" s="306">
        <v>0</v>
      </c>
      <c r="G18" s="27" t="s">
        <v>57</v>
      </c>
      <c r="H18" s="28"/>
      <c r="I18" s="18"/>
      <c r="J18" s="100" t="s">
        <v>128</v>
      </c>
      <c r="K18" s="253" t="s">
        <v>169</v>
      </c>
      <c r="L18" s="18"/>
      <c r="M18" s="307">
        <v>200</v>
      </c>
      <c r="N18" s="139" t="s">
        <v>51</v>
      </c>
      <c r="O18" s="326"/>
      <c r="P18" s="329">
        <v>0.01</v>
      </c>
      <c r="Q18" s="331"/>
      <c r="V18">
        <v>2012</v>
      </c>
      <c r="AH18" s="20"/>
      <c r="AI18" s="18"/>
      <c r="AJ18" s="18"/>
      <c r="AK18" s="18"/>
      <c r="AL18" s="21"/>
    </row>
    <row r="19" spans="1:38" ht="15" customHeight="1" thickBot="1" thickTop="1">
      <c r="A19" s="46"/>
      <c r="B19" s="100" t="s">
        <v>118</v>
      </c>
      <c r="C19" s="98" t="s">
        <v>199</v>
      </c>
      <c r="D19" s="18"/>
      <c r="E19" s="18"/>
      <c r="F19" s="339">
        <v>5</v>
      </c>
      <c r="G19" s="18" t="s">
        <v>49</v>
      </c>
      <c r="H19" s="18"/>
      <c r="I19" s="96"/>
      <c r="J19" s="100" t="s">
        <v>127</v>
      </c>
      <c r="K19" s="98" t="s">
        <v>59</v>
      </c>
      <c r="L19" s="18"/>
      <c r="M19" s="308">
        <v>100</v>
      </c>
      <c r="N19" s="139" t="s">
        <v>51</v>
      </c>
      <c r="O19" s="154"/>
      <c r="P19" s="329">
        <v>0.01</v>
      </c>
      <c r="Q19" s="331"/>
      <c r="V19">
        <v>2013</v>
      </c>
      <c r="AH19" s="20"/>
      <c r="AI19" s="18"/>
      <c r="AJ19" s="18"/>
      <c r="AK19" s="18"/>
      <c r="AL19" s="21"/>
    </row>
    <row r="20" spans="1:38" ht="15" customHeight="1" thickBot="1" thickTop="1">
      <c r="A20" s="46"/>
      <c r="B20" s="336"/>
      <c r="I20" s="18"/>
      <c r="J20" s="100" t="s">
        <v>126</v>
      </c>
      <c r="K20" s="98" t="s">
        <v>62</v>
      </c>
      <c r="L20" s="18"/>
      <c r="M20" s="308">
        <v>50</v>
      </c>
      <c r="N20" s="139" t="s">
        <v>51</v>
      </c>
      <c r="O20" s="341"/>
      <c r="P20" s="337">
        <f>P7</f>
        <v>0.01</v>
      </c>
      <c r="Q20" s="331"/>
      <c r="V20">
        <v>2014</v>
      </c>
      <c r="AH20" s="20"/>
      <c r="AI20" s="18"/>
      <c r="AJ20" s="18"/>
      <c r="AK20" s="18"/>
      <c r="AL20" s="21"/>
    </row>
    <row r="21" spans="1:22" ht="3" customHeight="1" hidden="1" thickBot="1" thickTop="1">
      <c r="A21" s="46"/>
      <c r="B21" s="20"/>
      <c r="C21" s="98"/>
      <c r="D21" s="18"/>
      <c r="E21" s="18"/>
      <c r="F21" s="18"/>
      <c r="G21" s="18"/>
      <c r="H21" s="18"/>
      <c r="I21" s="18"/>
      <c r="J21" s="18"/>
      <c r="K21" s="18"/>
      <c r="L21" s="18"/>
      <c r="M21" s="18"/>
      <c r="N21" s="18"/>
      <c r="O21" s="18"/>
      <c r="P21" s="18"/>
      <c r="Q21" s="46"/>
      <c r="V21">
        <v>2015</v>
      </c>
    </row>
    <row r="22" spans="1:22" ht="5.25" customHeight="1" thickBot="1">
      <c r="A22" s="46"/>
      <c r="B22" s="124"/>
      <c r="C22" s="151"/>
      <c r="D22" s="42"/>
      <c r="E22" s="42"/>
      <c r="F22" s="42"/>
      <c r="G22" s="42"/>
      <c r="H22" s="42"/>
      <c r="I22" s="42"/>
      <c r="J22" s="42"/>
      <c r="K22" s="42"/>
      <c r="L22" s="42"/>
      <c r="M22" s="42"/>
      <c r="N22" s="42"/>
      <c r="O22" s="42"/>
      <c r="P22" s="19"/>
      <c r="Q22" s="46"/>
      <c r="V22">
        <v>2016</v>
      </c>
    </row>
    <row r="23" spans="1:22" ht="17.25" customHeight="1">
      <c r="A23" s="46"/>
      <c r="B23" s="128" t="s">
        <v>107</v>
      </c>
      <c r="C23" s="98"/>
      <c r="D23" s="18"/>
      <c r="E23" s="465" t="s">
        <v>190</v>
      </c>
      <c r="F23" s="466"/>
      <c r="G23" s="467"/>
      <c r="K23" s="295" t="s">
        <v>191</v>
      </c>
      <c r="L23" s="157" t="s">
        <v>185</v>
      </c>
      <c r="M23" s="159"/>
      <c r="N23" s="154"/>
      <c r="O23" s="18"/>
      <c r="P23" s="21"/>
      <c r="Q23" s="46"/>
      <c r="V23">
        <v>2017</v>
      </c>
    </row>
    <row r="24" spans="1:22" ht="3" customHeight="1">
      <c r="A24" s="46"/>
      <c r="B24" s="20"/>
      <c r="C24" s="98"/>
      <c r="D24" s="18"/>
      <c r="E24" s="283"/>
      <c r="F24" s="284"/>
      <c r="G24" s="285"/>
      <c r="H24" s="18"/>
      <c r="I24" s="18"/>
      <c r="J24" s="18"/>
      <c r="K24" s="154"/>
      <c r="L24" s="156"/>
      <c r="M24" s="158"/>
      <c r="N24" s="98"/>
      <c r="O24" s="18"/>
      <c r="P24" s="21"/>
      <c r="Q24" s="46"/>
      <c r="V24">
        <v>2018</v>
      </c>
    </row>
    <row r="25" spans="1:22" ht="12.75">
      <c r="A25" s="46"/>
      <c r="B25" s="20"/>
      <c r="C25" s="98"/>
      <c r="D25" s="18"/>
      <c r="E25" s="286" t="s">
        <v>105</v>
      </c>
      <c r="F25" s="287" t="s">
        <v>60</v>
      </c>
      <c r="G25" s="288" t="s">
        <v>106</v>
      </c>
      <c r="H25" s="18"/>
      <c r="I25" s="18"/>
      <c r="J25" s="18"/>
      <c r="K25" s="155" t="s">
        <v>105</v>
      </c>
      <c r="L25" s="155" t="s">
        <v>60</v>
      </c>
      <c r="M25" s="193" t="s">
        <v>106</v>
      </c>
      <c r="N25" s="18"/>
      <c r="O25" s="18"/>
      <c r="P25" s="21"/>
      <c r="Q25" s="46"/>
      <c r="V25">
        <v>2019</v>
      </c>
    </row>
    <row r="26" spans="1:22" ht="16.5" thickBot="1">
      <c r="A26" s="46"/>
      <c r="B26" s="20"/>
      <c r="C26" s="98"/>
      <c r="D26" s="103" t="s">
        <v>192</v>
      </c>
      <c r="E26" s="289">
        <f>Berechnungen!K29</f>
        <v>23461.424341335583</v>
      </c>
      <c r="F26" s="290">
        <f>Berechnungen!L29</f>
        <v>21430.947390296355</v>
      </c>
      <c r="G26" s="291">
        <f>Berechnungen!M29</f>
        <v>2030.4769510392289</v>
      </c>
      <c r="H26" s="18"/>
      <c r="I26" s="18"/>
      <c r="J26" s="153" t="s">
        <v>256</v>
      </c>
      <c r="K26" s="44">
        <f>Berechnungen!N29</f>
        <v>13434.535544940936</v>
      </c>
      <c r="L26" s="44">
        <f>Berechnungen!O29</f>
        <v>13179.252472363254</v>
      </c>
      <c r="M26" s="102">
        <f>Berechnungen!P29</f>
        <v>255.2830725776821</v>
      </c>
      <c r="N26" s="18" t="s">
        <v>200</v>
      </c>
      <c r="O26" s="18"/>
      <c r="P26" s="21"/>
      <c r="Q26" s="46"/>
      <c r="V26">
        <v>2020</v>
      </c>
    </row>
    <row r="27" spans="1:17" ht="16.5" thickBot="1">
      <c r="A27" s="46"/>
      <c r="B27" s="20"/>
      <c r="C27" s="115"/>
      <c r="D27" s="103" t="s">
        <v>193</v>
      </c>
      <c r="E27" s="292">
        <f>Berechnungen!K30</f>
        <v>1117.210682920742</v>
      </c>
      <c r="F27" s="293">
        <f>Berechnungen!L30</f>
        <v>1020.5213042998264</v>
      </c>
      <c r="G27" s="294">
        <f>Berechnungen!M30</f>
        <v>96.6893786209157</v>
      </c>
      <c r="H27" s="18"/>
      <c r="I27" s="18"/>
      <c r="J27" s="100" t="s">
        <v>257</v>
      </c>
      <c r="K27" s="75"/>
      <c r="L27" s="75" t="s">
        <v>198</v>
      </c>
      <c r="M27" s="133">
        <f>Berechnungen!P30</f>
        <v>19.911085875664032</v>
      </c>
      <c r="N27" s="98" t="s">
        <v>316</v>
      </c>
      <c r="O27" s="18"/>
      <c r="P27" s="21"/>
      <c r="Q27" s="46"/>
    </row>
    <row r="28" spans="1:17" ht="5.25" customHeight="1">
      <c r="A28" s="46"/>
      <c r="B28" s="20"/>
      <c r="C28" s="98"/>
      <c r="D28" s="18"/>
      <c r="E28" s="18"/>
      <c r="F28" s="18"/>
      <c r="G28" s="18"/>
      <c r="H28" s="18"/>
      <c r="I28" s="18"/>
      <c r="J28" s="18"/>
      <c r="K28" s="18"/>
      <c r="L28" s="18"/>
      <c r="M28" s="152"/>
      <c r="N28" s="18"/>
      <c r="O28" s="18"/>
      <c r="P28" s="21"/>
      <c r="Q28" s="46"/>
    </row>
    <row r="29" spans="1:17" ht="12.75" customHeight="1" thickBot="1">
      <c r="A29" s="46"/>
      <c r="B29" s="20"/>
      <c r="C29" s="98"/>
      <c r="D29" s="18"/>
      <c r="E29" s="18"/>
      <c r="F29" s="18"/>
      <c r="G29" s="18"/>
      <c r="H29" s="18"/>
      <c r="I29" s="18"/>
      <c r="J29" s="100" t="s">
        <v>258</v>
      </c>
      <c r="K29" s="18"/>
      <c r="L29" s="103" t="s">
        <v>396</v>
      </c>
      <c r="M29" s="137">
        <f>IF(M27&lt;0,"keine Amort.",Berechnungen!AX31)</f>
        <v>18</v>
      </c>
      <c r="N29" s="96" t="s">
        <v>47</v>
      </c>
      <c r="O29" s="18"/>
      <c r="P29" s="21"/>
      <c r="Q29" s="46"/>
    </row>
    <row r="30" spans="1:17" ht="5.25" customHeight="1">
      <c r="A30" s="46"/>
      <c r="B30" s="20"/>
      <c r="C30" s="98"/>
      <c r="D30" s="18"/>
      <c r="E30" s="18"/>
      <c r="F30" s="18"/>
      <c r="G30" s="18"/>
      <c r="H30" s="18"/>
      <c r="I30" s="18"/>
      <c r="J30" s="18"/>
      <c r="K30" s="18"/>
      <c r="L30" s="18"/>
      <c r="M30" s="152"/>
      <c r="N30" s="18"/>
      <c r="O30" s="18"/>
      <c r="P30" s="21"/>
      <c r="Q30" s="46"/>
    </row>
    <row r="31" spans="1:17" ht="1.5" customHeight="1">
      <c r="A31" s="46"/>
      <c r="B31" s="20"/>
      <c r="C31" s="98"/>
      <c r="D31" s="18"/>
      <c r="E31" s="18"/>
      <c r="F31" s="18"/>
      <c r="G31" s="18"/>
      <c r="H31" s="18"/>
      <c r="I31" s="18"/>
      <c r="J31" s="18"/>
      <c r="K31" s="18"/>
      <c r="L31" s="18"/>
      <c r="M31" s="18"/>
      <c r="N31" s="18"/>
      <c r="O31" s="18"/>
      <c r="P31" s="21"/>
      <c r="Q31" s="46"/>
    </row>
    <row r="32" spans="1:17" ht="12.75" customHeight="1" thickBot="1">
      <c r="A32" s="46"/>
      <c r="B32" s="20"/>
      <c r="C32" s="98"/>
      <c r="D32" s="18"/>
      <c r="E32" s="18"/>
      <c r="F32" s="100" t="s">
        <v>259</v>
      </c>
      <c r="G32" s="18"/>
      <c r="H32" s="18"/>
      <c r="I32" s="18"/>
      <c r="J32" s="18"/>
      <c r="K32" s="18"/>
      <c r="L32" s="103" t="s">
        <v>394</v>
      </c>
      <c r="M32" s="136">
        <f>M8*Berechnungen!AU34</f>
        <v>78.06303158354824</v>
      </c>
      <c r="N32" s="96" t="s">
        <v>341</v>
      </c>
      <c r="O32" s="18"/>
      <c r="P32" s="21"/>
      <c r="Q32" s="46"/>
    </row>
    <row r="33" spans="1:17" ht="6" customHeight="1">
      <c r="A33" s="46"/>
      <c r="B33" s="20"/>
      <c r="C33" s="98"/>
      <c r="D33" s="18"/>
      <c r="E33" s="18"/>
      <c r="F33" s="18"/>
      <c r="G33" s="18"/>
      <c r="H33" s="18"/>
      <c r="I33" s="18"/>
      <c r="J33" s="18"/>
      <c r="K33" s="18"/>
      <c r="L33" s="18"/>
      <c r="M33" s="18"/>
      <c r="N33" s="18"/>
      <c r="O33" s="18"/>
      <c r="P33" s="21"/>
      <c r="Q33" s="46"/>
    </row>
    <row r="34" spans="1:17" ht="13.5" thickBot="1">
      <c r="A34" s="46"/>
      <c r="B34" s="20"/>
      <c r="C34" s="98"/>
      <c r="D34" s="18"/>
      <c r="E34" s="18"/>
      <c r="F34" s="100" t="s">
        <v>260</v>
      </c>
      <c r="G34" s="139"/>
      <c r="H34" s="139"/>
      <c r="I34" s="139"/>
      <c r="J34" s="139"/>
      <c r="K34" s="139"/>
      <c r="L34" s="334" t="s">
        <v>395</v>
      </c>
      <c r="M34" s="335">
        <f>IRR(Berechnungen!M6:M28,0.02)</f>
        <v>0.06104970185603887</v>
      </c>
      <c r="N34" s="96"/>
      <c r="O34" s="18"/>
      <c r="P34" s="21"/>
      <c r="Q34" s="46"/>
    </row>
    <row r="35" spans="1:17" ht="5.25" customHeight="1" thickBot="1">
      <c r="A35" s="46"/>
      <c r="B35" s="95"/>
      <c r="C35" s="94"/>
      <c r="D35" s="43"/>
      <c r="E35" s="43"/>
      <c r="F35" s="43"/>
      <c r="G35" s="43"/>
      <c r="H35" s="43"/>
      <c r="I35" s="43"/>
      <c r="J35" s="43"/>
      <c r="K35" s="43"/>
      <c r="L35" s="43"/>
      <c r="M35" s="43"/>
      <c r="N35" s="43"/>
      <c r="O35" s="43"/>
      <c r="P35" s="311"/>
      <c r="Q35" s="46"/>
    </row>
    <row r="36" spans="1:17" ht="7.5" customHeight="1">
      <c r="A36" s="46"/>
      <c r="B36" s="46"/>
      <c r="C36" s="46"/>
      <c r="D36" s="46"/>
      <c r="E36" s="46"/>
      <c r="F36" s="46"/>
      <c r="G36" s="46"/>
      <c r="H36" s="46"/>
      <c r="I36" s="46"/>
      <c r="J36" s="46"/>
      <c r="K36" s="46"/>
      <c r="L36" s="46"/>
      <c r="M36" s="46"/>
      <c r="N36" s="46"/>
      <c r="O36" s="46"/>
      <c r="P36" s="46"/>
      <c r="Q36" s="46"/>
    </row>
  </sheetData>
  <sheetProtection sheet="1" objects="1" scenarios="1"/>
  <mergeCells count="4">
    <mergeCell ref="P13:P17"/>
    <mergeCell ref="E23:G23"/>
    <mergeCell ref="P7:P8"/>
    <mergeCell ref="S10:S11"/>
  </mergeCells>
  <conditionalFormatting sqref="M34">
    <cfRule type="cellIs" priority="1" dxfId="0" operator="lessThan" stopIfTrue="1">
      <formula>0</formula>
    </cfRule>
  </conditionalFormatting>
  <conditionalFormatting sqref="F8">
    <cfRule type="cellIs" priority="2" dxfId="1" operator="greaterThan" stopIfTrue="1">
      <formula>21</formula>
    </cfRule>
  </conditionalFormatting>
  <conditionalFormatting sqref="W12:AF12 S12:U12">
    <cfRule type="expression" priority="3" dxfId="2" stopIfTrue="1">
      <formula>AND($F$6&gt;$AJ$12,$M$12&lt;$AJ$14)</formula>
    </cfRule>
  </conditionalFormatting>
  <dataValidations count="1">
    <dataValidation type="list" allowBlank="1" showInputMessage="1" showErrorMessage="1" sqref="N4">
      <formula1>$V$16:$V$26</formula1>
    </dataValidation>
  </dataValidations>
  <hyperlinks>
    <hyperlink ref="B6" location="Infos_Dateneingabe!A8:K8" display="Info (2)"/>
    <hyperlink ref="B7" location="Infos_Dateneingabe!A8:K8" display="Info (2)"/>
    <hyperlink ref="B8" location="Infos_Dateneingabe!A13:K13" display="Info (3)"/>
    <hyperlink ref="B10" location="Infos_Dateneingabe!A17:K19" display="Info (4)"/>
    <hyperlink ref="B11" location="Infos_Dateneingabe!A25:K26" display="Info (5)"/>
    <hyperlink ref="B12" location="Infos_Dateneingabe!A30:K33" display="Info (6)"/>
    <hyperlink ref="B13" location="Infos_Dateneingabe!A49:K50" display="Info (7)"/>
    <hyperlink ref="B14" location="Infos_Dateneingabe!A55:K62" display="Info (8)"/>
    <hyperlink ref="B15" location="Infos_Dateneingabe!A69:K71" display="Info (9)"/>
    <hyperlink ref="B18" location="Infos_Dateneingabe!A86:K86" display="Info (11)"/>
    <hyperlink ref="B19" location="Infos_Dateneingabe!A92:K96" display="Info (12)"/>
    <hyperlink ref="F34" location="InfosKUP!A171:A187" display="Info (29)"/>
    <hyperlink ref="J6" location="Infos_Dateneingabe!A105:K123" display="Info (13)"/>
    <hyperlink ref="J7" location="Infos_Dateneingabe!A116:K152" display="Info (14)"/>
    <hyperlink ref="J9" location="Infos_Dateneingabe!A164:K166" display="Info (15)"/>
    <hyperlink ref="J13" location="Infos_Dateneingabe!A179:K181" display="Info (16)"/>
    <hyperlink ref="J14" location="Infos_Dateneingabe!A196:K207" display="Info (17)"/>
    <hyperlink ref="J15" location="Infos_Dateneingabe!A216:K219" display="Info (18)"/>
    <hyperlink ref="J16" location="Infos_Dateneingabe!A231:K236" display="Info (19)"/>
    <hyperlink ref="J17" location="Infos_Dateneingabe!A246:K251" display="Info (20)"/>
    <hyperlink ref="J18" location="Infos_Dateneingabe!A262:K263" display="Info (21)"/>
    <hyperlink ref="J19" location="Infos_Dateneingabe!A268:K268" display="Info (22)"/>
    <hyperlink ref="J20" location="Infos_Dateneingabe!A274:K274" display="Info (23)"/>
    <hyperlink ref="B17" location="Infos_Dateneingabe!A77:K77" display="Info (10)"/>
    <hyperlink ref="B4" location="Infos_Dateneingabe!A3:K3" display="Info (1)"/>
    <hyperlink ref="S4" location="Infos_Dateneingabe!A279:K281" display="Info (24)"/>
    <hyperlink ref="J26" location="InfosKUP!A84:A102" display="Info (25)"/>
    <hyperlink ref="F32" location="InfosKUP!A153:A159" display="Info (28)"/>
    <hyperlink ref="J29" location="InfosKUP!A139:A143" display="Info (27)"/>
    <hyperlink ref="J27" location="InfosKUP!A125:A132" display="Info (26)"/>
    <hyperlink ref="J10:J12" location="Infos_Dateneingabe!A127:K133" display="Info (26)"/>
    <hyperlink ref="J10" location="Infos_Dateneingabe!A164:K166" display="Info (15)"/>
    <hyperlink ref="J11" location="Infos_Dateneingabe!A164:K166" display="Info (15)"/>
    <hyperlink ref="J12" location="Infos_Dateneingabe!A164:K166" display="Info (15)"/>
  </hyperlinks>
  <printOptions/>
  <pageMargins left="0.46" right="0.25" top="0.73" bottom="0.55" header="0.31" footer="0.26"/>
  <pageSetup fitToHeight="2" horizontalDpi="1200" verticalDpi="1200" orientation="landscape" paperSize="9" scale="110" r:id="rId4"/>
  <headerFooter alignWithMargins="0">
    <oddFooter>&amp;LLTZ / LEL KUP-Rechner&amp;C&amp;F&amp;R&amp;A</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Tabelle6">
    <pageSetUpPr fitToPage="1"/>
  </sheetPr>
  <dimension ref="A2:AX73"/>
  <sheetViews>
    <sheetView zoomScale="90" zoomScaleNormal="90" workbookViewId="0" topLeftCell="A1">
      <pane xSplit="9" ySplit="6" topLeftCell="J7" activePane="bottomRight" state="frozen"/>
      <selection pane="topLeft" activeCell="G2" sqref="G2"/>
      <selection pane="topRight" activeCell="G2" sqref="G2"/>
      <selection pane="bottomLeft" activeCell="G2" sqref="G2"/>
      <selection pane="bottomRight" activeCell="G2" sqref="G2:I2"/>
    </sheetView>
  </sheetViews>
  <sheetFormatPr defaultColWidth="11.421875" defaultRowHeight="12.75"/>
  <cols>
    <col min="1" max="1" width="4.7109375" style="0" hidden="1" customWidth="1"/>
    <col min="2" max="2" width="5.140625" style="0" hidden="1" customWidth="1"/>
    <col min="3" max="3" width="2.7109375" style="0" hidden="1" customWidth="1"/>
    <col min="4" max="4" width="13.57421875" style="0" hidden="1" customWidth="1"/>
    <col min="5" max="5" width="8.28125" style="41" hidden="1" customWidth="1"/>
    <col min="6" max="6" width="0.9921875" style="0" customWidth="1"/>
    <col min="7" max="7" width="8.00390625" style="41" customWidth="1"/>
    <col min="8" max="8" width="3.8515625" style="41" hidden="1" customWidth="1"/>
    <col min="9" max="10" width="5.28125" style="0" customWidth="1"/>
    <col min="11" max="12" width="7.8515625" style="0" customWidth="1"/>
    <col min="13" max="13" width="8.421875" style="0" customWidth="1"/>
    <col min="14" max="15" width="9.00390625" style="0" customWidth="1"/>
    <col min="16" max="16" width="10.28125" style="0" customWidth="1"/>
    <col min="17" max="17" width="1.7109375" style="0" customWidth="1"/>
    <col min="18" max="18" width="6.57421875" style="0" customWidth="1"/>
    <col min="19" max="19" width="6.8515625" style="0" customWidth="1"/>
    <col min="20" max="20" width="8.28125" style="0" hidden="1" customWidth="1"/>
    <col min="21" max="21" width="5.28125" style="0" hidden="1" customWidth="1"/>
    <col min="22" max="22" width="6.28125" style="0" customWidth="1"/>
    <col min="23" max="23" width="8.00390625" style="34" hidden="1" customWidth="1"/>
    <col min="24" max="24" width="8.57421875" style="34" hidden="1" customWidth="1"/>
    <col min="25" max="25" width="8.140625" style="34" customWidth="1"/>
    <col min="26" max="26" width="6.140625" style="30" customWidth="1"/>
    <col min="27" max="27" width="8.8515625" style="0" customWidth="1"/>
    <col min="28" max="29" width="6.28125" style="0" customWidth="1"/>
    <col min="30" max="30" width="6.57421875" style="30" customWidth="1"/>
    <col min="31" max="31" width="7.28125" style="30" hidden="1" customWidth="1"/>
    <col min="32" max="32" width="5.140625" style="0" hidden="1" customWidth="1"/>
    <col min="33" max="33" width="7.28125" style="0" customWidth="1"/>
    <col min="34" max="34" width="6.7109375" style="30" hidden="1" customWidth="1"/>
    <col min="35" max="35" width="5.140625" style="0" hidden="1" customWidth="1"/>
    <col min="36" max="36" width="5.8515625" style="0" customWidth="1"/>
    <col min="37" max="37" width="7.00390625" style="30" customWidth="1"/>
    <col min="38" max="38" width="6.28125" style="0" hidden="1" customWidth="1"/>
    <col min="39" max="39" width="10.7109375" style="0" customWidth="1"/>
    <col min="40" max="40" width="4.57421875" style="30" hidden="1" customWidth="1"/>
    <col min="41" max="41" width="5.140625" style="0" hidden="1" customWidth="1"/>
    <col min="42" max="42" width="5.57421875" style="0" customWidth="1"/>
    <col min="43" max="43" width="6.140625" style="30" hidden="1" customWidth="1"/>
    <col min="44" max="44" width="8.7109375" style="0" hidden="1" customWidth="1"/>
    <col min="45" max="45" width="6.57421875" style="0" customWidth="1"/>
    <col min="46" max="46" width="9.00390625" style="0" customWidth="1"/>
    <col min="49" max="49" width="5.140625" style="0" customWidth="1"/>
    <col min="50" max="50" width="5.7109375" style="0" customWidth="1"/>
  </cols>
  <sheetData>
    <row r="1" ht="3" customHeight="1"/>
    <row r="2" spans="7:28" ht="16.5" customHeight="1">
      <c r="G2" s="446" t="s">
        <v>365</v>
      </c>
      <c r="H2" s="446"/>
      <c r="I2" s="446"/>
      <c r="S2" s="100" t="s">
        <v>208</v>
      </c>
      <c r="T2" s="118" t="s">
        <v>129</v>
      </c>
      <c r="U2" s="119"/>
      <c r="V2" s="303"/>
      <c r="W2" s="303"/>
      <c r="X2" s="304"/>
      <c r="Y2" s="304"/>
      <c r="Z2"/>
      <c r="AB2" s="1" t="s">
        <v>130</v>
      </c>
    </row>
    <row r="3" ht="3.75" customHeight="1"/>
    <row r="4" spans="24:25" ht="3" customHeight="1" thickBot="1">
      <c r="X4"/>
      <c r="Y4"/>
    </row>
    <row r="5" spans="5:50" ht="80.25" customHeight="1">
      <c r="E5" s="59"/>
      <c r="G5" s="59"/>
      <c r="H5" s="105"/>
      <c r="I5" s="60" t="s">
        <v>0</v>
      </c>
      <c r="J5" s="147" t="s">
        <v>271</v>
      </c>
      <c r="K5" s="77" t="s">
        <v>2</v>
      </c>
      <c r="L5" s="77" t="s">
        <v>1</v>
      </c>
      <c r="M5" s="77" t="s">
        <v>203</v>
      </c>
      <c r="N5" s="78" t="s">
        <v>4</v>
      </c>
      <c r="O5" s="78" t="s">
        <v>3</v>
      </c>
      <c r="P5" s="78" t="s">
        <v>204</v>
      </c>
      <c r="Q5" s="42"/>
      <c r="R5" s="117" t="s">
        <v>99</v>
      </c>
      <c r="S5" s="61" t="s">
        <v>388</v>
      </c>
      <c r="T5" s="147" t="s">
        <v>100</v>
      </c>
      <c r="U5" s="147" t="s">
        <v>101</v>
      </c>
      <c r="V5" s="148" t="s">
        <v>387</v>
      </c>
      <c r="W5" s="40" t="s">
        <v>102</v>
      </c>
      <c r="X5" s="39">
        <f>Eingabe_u_Ergebnisübersicht!P7</f>
        <v>0.01</v>
      </c>
      <c r="Y5" s="40" t="s">
        <v>389</v>
      </c>
      <c r="Z5" s="210" t="s">
        <v>390</v>
      </c>
      <c r="AA5" s="48" t="s">
        <v>56</v>
      </c>
      <c r="AB5" s="47" t="s">
        <v>94</v>
      </c>
      <c r="AC5" s="47" t="s">
        <v>82</v>
      </c>
      <c r="AD5" s="48" t="s">
        <v>331</v>
      </c>
      <c r="AE5" s="47" t="s">
        <v>109</v>
      </c>
      <c r="AF5" s="49">
        <f>Eingabe_u_Ergebnisübersicht!P13</f>
        <v>0.01</v>
      </c>
      <c r="AG5" s="52" t="s">
        <v>345</v>
      </c>
      <c r="AH5" s="38" t="s">
        <v>61</v>
      </c>
      <c r="AI5" s="165">
        <f>Eingabe_u_Ergebnisübersicht!P18</f>
        <v>0.01</v>
      </c>
      <c r="AJ5" s="91" t="s">
        <v>61</v>
      </c>
      <c r="AK5" s="38" t="s">
        <v>59</v>
      </c>
      <c r="AL5" s="39">
        <f>Eingabe_u_Ergebnisübersicht!P19</f>
        <v>0.01</v>
      </c>
      <c r="AM5" s="169" t="s">
        <v>59</v>
      </c>
      <c r="AN5" s="38" t="s">
        <v>62</v>
      </c>
      <c r="AO5" s="39">
        <f>Eingabe_u_Ergebnisübersicht!P20</f>
        <v>0.01</v>
      </c>
      <c r="AP5" s="169" t="s">
        <v>62</v>
      </c>
      <c r="AQ5" s="38" t="s">
        <v>58</v>
      </c>
      <c r="AR5" s="39">
        <f>Eingabe_u_Ergebnisübersicht!H17</f>
        <v>0</v>
      </c>
      <c r="AS5" s="302" t="s">
        <v>391</v>
      </c>
      <c r="AU5" s="135" t="s">
        <v>392</v>
      </c>
      <c r="AV5" s="135" t="s">
        <v>262</v>
      </c>
      <c r="AW5" s="135" t="s">
        <v>183</v>
      </c>
      <c r="AX5" s="135" t="s">
        <v>183</v>
      </c>
    </row>
    <row r="6" spans="2:50" ht="12.75">
      <c r="B6" s="24">
        <f>MOD(I6,Eingabe_u_Ergebnisübersicht!$F$6)</f>
        <v>0</v>
      </c>
      <c r="D6" s="141"/>
      <c r="E6" s="62"/>
      <c r="G6" s="62" t="s">
        <v>92</v>
      </c>
      <c r="H6" s="106"/>
      <c r="I6" s="4">
        <v>0</v>
      </c>
      <c r="J6" s="4"/>
      <c r="K6" s="33">
        <v>0</v>
      </c>
      <c r="L6" s="32">
        <f>Eingabe_u_Ergebnisübersicht!F16-Eingabe_u_Ergebnisübersicht!F18</f>
        <v>2460</v>
      </c>
      <c r="M6" s="213">
        <f aca="true" t="shared" si="0" ref="M6:M30">K6-L6</f>
        <v>-2460</v>
      </c>
      <c r="N6" s="3"/>
      <c r="O6" s="31">
        <f>L6</f>
        <v>2460</v>
      </c>
      <c r="P6" s="31">
        <f aca="true" t="shared" si="1" ref="P6:P29">N6-O6</f>
        <v>-2460</v>
      </c>
      <c r="Q6" s="156"/>
      <c r="R6" s="174"/>
      <c r="S6" s="175"/>
      <c r="T6" s="176"/>
      <c r="U6" s="176"/>
      <c r="V6" s="177"/>
      <c r="W6" s="178"/>
      <c r="X6" s="179">
        <v>1</v>
      </c>
      <c r="Y6" s="180"/>
      <c r="Z6" s="181"/>
      <c r="AA6" s="182"/>
      <c r="AB6" s="183"/>
      <c r="AC6" s="183"/>
      <c r="AD6" s="184"/>
      <c r="AE6" s="185"/>
      <c r="AF6" s="183">
        <v>1</v>
      </c>
      <c r="AG6" s="186"/>
      <c r="AH6" s="178"/>
      <c r="AI6" s="187">
        <v>1</v>
      </c>
      <c r="AJ6" s="188"/>
      <c r="AK6" s="178"/>
      <c r="AL6" s="189">
        <v>1</v>
      </c>
      <c r="AM6" s="187"/>
      <c r="AN6" s="178"/>
      <c r="AO6" s="189">
        <v>1</v>
      </c>
      <c r="AP6" s="187"/>
      <c r="AQ6" s="178"/>
      <c r="AR6" s="189">
        <v>1</v>
      </c>
      <c r="AS6" s="177"/>
      <c r="AU6" s="92"/>
      <c r="AV6" s="93">
        <f>IF(B6="","",SUM($P$6:P6)+$P$28)</f>
        <v>-2818.942364640953</v>
      </c>
      <c r="AW6" s="92"/>
      <c r="AX6" s="92"/>
    </row>
    <row r="7" spans="1:50" ht="12.75">
      <c r="A7">
        <v>1</v>
      </c>
      <c r="B7" s="24">
        <f>IF(I7="","",MOD(I7,Eingabe_u_Ergebnisübersicht!$F$6))</f>
        <v>1</v>
      </c>
      <c r="D7" s="141">
        <f>Eingabe_u_Ergebnisübersicht!N4</f>
        <v>2011</v>
      </c>
      <c r="E7" s="62">
        <f aca="true" t="shared" si="2" ref="E7:E27">IF(B7=0,"ERNTE","")</f>
      </c>
      <c r="G7" s="62">
        <f aca="true" t="shared" si="3" ref="G7:G27">IF(B7=0,E7&amp;H7,"")</f>
      </c>
      <c r="H7" s="106">
        <f>COUNTIF($E$7:E7,"ERNTE")</f>
        <v>0</v>
      </c>
      <c r="I7" s="2">
        <f>IF(Eingabe_u_Ergebnisübersicht!$F$8&lt;=I6,"",I6+1)</f>
        <v>1</v>
      </c>
      <c r="J7" s="2">
        <f>Eingabe_u_Ergebnisübersicht!N4</f>
        <v>2011</v>
      </c>
      <c r="K7" s="32">
        <f>IF(B7="",0,Y7+Z7)</f>
        <v>285</v>
      </c>
      <c r="L7" s="32">
        <f aca="true" t="shared" si="4" ref="L7:L27">IF(B7=0,AG7+AJ7+AM7+AP7,AJ7+AM7+AP7)</f>
        <v>353.5</v>
      </c>
      <c r="M7" s="214">
        <f t="shared" si="0"/>
        <v>-68.5</v>
      </c>
      <c r="N7" s="31">
        <f>IF(K7=0,0,PV(Eingabe_u_Ergebnisübersicht!$F$19/100,I7,,K7*-1))</f>
        <v>271.42857142857144</v>
      </c>
      <c r="O7" s="31">
        <f>IF(L7=0,0,PV(Eingabe_u_Ergebnisübersicht!$F$19/100,I7,,L7*-1))</f>
        <v>336.66666666666663</v>
      </c>
      <c r="P7" s="31">
        <f t="shared" si="1"/>
        <v>-65.23809523809518</v>
      </c>
      <c r="Q7" s="18"/>
      <c r="R7" s="104">
        <v>0.3</v>
      </c>
      <c r="S7" s="18">
        <f>R7*Eingabe_u_Ergebnisübersicht!$M$6</f>
        <v>3</v>
      </c>
      <c r="T7" s="160">
        <f>IF(B7="",0,SUM($S$7:S7))</f>
        <v>3</v>
      </c>
      <c r="U7" s="149">
        <f>IF(B7=0,SUM($S$7:S7),0)</f>
        <v>0</v>
      </c>
      <c r="V7" s="150">
        <f>IF(U7-(MAX($U6:U$6))&lt;0,0,U7-(MAX($U6:U$6)))</f>
        <v>0</v>
      </c>
      <c r="W7" s="37">
        <f>V7*Eingabe_u_Ergebnisübersicht!$M$8</f>
        <v>0</v>
      </c>
      <c r="X7" s="35">
        <f aca="true" t="shared" si="5" ref="X7:X27">X6+X6*$X$5</f>
        <v>1.01</v>
      </c>
      <c r="Y7" s="79">
        <f aca="true" t="shared" si="6" ref="Y7:Y27">W7*X7</f>
        <v>0</v>
      </c>
      <c r="Z7" s="173">
        <f>IF(B7="",0,IF(D7&lt;=$D$31,$E$31,IF(D7&lt;=$D$32,$E$32,IF(D7&lt;=$D$33,$E$33,$E$34))))</f>
        <v>285</v>
      </c>
      <c r="AA7" s="54">
        <f>IF(OR($B7="",$B7&gt;0),0,IF($I7&lt;=(MAX($I$7:$I$27)),Eingabe_u_Ergebnisübersicht!$M$13*$V7))</f>
        <v>0</v>
      </c>
      <c r="AB7" s="55">
        <f>IF(OR($B7="",$B7&gt;0),0,IF($I7&lt;=(MAX($I$7:$I$27)),Eingabe_u_Ergebnisübersicht!$M$14*$V7))</f>
        <v>0</v>
      </c>
      <c r="AC7" s="55">
        <f>IF(OR($B7="",$B7&gt;0),0,IF($I7&lt;=(MAX($I$7:$I$27)),Eingabe_u_Ergebnisübersicht!$M$15*$V7))</f>
        <v>0</v>
      </c>
      <c r="AD7" s="54">
        <f>IF(OR($B7="",$B7&gt;0),0,IF($I7&lt;(MAX($I$7:$I$27)),Eingabe_u_Ergebnisübersicht!$M$16+Eingabe_u_Ergebnisübersicht!$M$17,Eingabe_u_Ergebnisübersicht!$M$16))</f>
        <v>0</v>
      </c>
      <c r="AE7" s="56">
        <f>SUM(AA7:AD7)</f>
        <v>0</v>
      </c>
      <c r="AF7" s="50">
        <f>AF6+AF6*$AF$5</f>
        <v>1.01</v>
      </c>
      <c r="AG7" s="53">
        <f>AE7*AF7</f>
        <v>0</v>
      </c>
      <c r="AH7" s="36">
        <f>IF(B7="",0,Eingabe_u_Ergebnisübersicht!$M$18)</f>
        <v>200</v>
      </c>
      <c r="AI7" s="166">
        <f aca="true" t="shared" si="7" ref="AI7:AI27">AI6+AI6*$AI$5</f>
        <v>1.01</v>
      </c>
      <c r="AJ7" s="93">
        <f>AH7*AI7</f>
        <v>202</v>
      </c>
      <c r="AK7" s="57">
        <f>IF(B7="",0,Eingabe_u_Ergebnisübersicht!$M$19)</f>
        <v>100</v>
      </c>
      <c r="AL7" s="58">
        <f>AL6+AL6*$AL$5</f>
        <v>1.01</v>
      </c>
      <c r="AM7" s="170">
        <f>AK7*AL7</f>
        <v>101</v>
      </c>
      <c r="AN7" s="57">
        <f>IF(B7="",0,Eingabe_u_Ergebnisübersicht!$M$20)</f>
        <v>50</v>
      </c>
      <c r="AO7" s="58">
        <f>AO6+AO6*$AO$5</f>
        <v>1.01</v>
      </c>
      <c r="AP7" s="170">
        <f>AN7*AO7</f>
        <v>50.5</v>
      </c>
      <c r="AQ7" s="36">
        <f>IF(I7=(MAX($I$7:$I$27)),Eingabe_u_Ergebnisübersicht!$F$17,0)</f>
        <v>0</v>
      </c>
      <c r="AR7" s="35">
        <f>AR6+AR6*$AR$5</f>
        <v>1</v>
      </c>
      <c r="AS7" s="172">
        <f>AQ7*AR7</f>
        <v>0</v>
      </c>
      <c r="AU7" s="93">
        <f>IF(K7=0,0,PV(Eingabe_u_Ergebnisübersicht!$F$19/100,I7,,Y7*-1))</f>
        <v>0</v>
      </c>
      <c r="AV7" s="93">
        <f>IF(B7="","",SUM($P$6:P7)+$P$28)</f>
        <v>-2884.1804598790486</v>
      </c>
      <c r="AW7" s="93">
        <f aca="true" t="shared" si="8" ref="AW7:AW27">IF(AV7&lt;0,0,A6)</f>
        <v>0</v>
      </c>
      <c r="AX7" s="93">
        <f>IF(AW7&gt;0,A7,"")</f>
      </c>
    </row>
    <row r="8" spans="1:50" ht="12.75">
      <c r="A8">
        <v>2</v>
      </c>
      <c r="B8" s="24">
        <f>IF(I8="","",MOD(I8,Eingabe_u_Ergebnisübersicht!$F$6))</f>
        <v>2</v>
      </c>
      <c r="D8" s="141">
        <f>D7+1</f>
        <v>2012</v>
      </c>
      <c r="E8" s="62">
        <f t="shared" si="2"/>
      </c>
      <c r="G8" s="62">
        <f t="shared" si="3"/>
      </c>
      <c r="H8" s="106">
        <f>COUNTIF($E$7:E8,"ERNTE")</f>
        <v>0</v>
      </c>
      <c r="I8" s="2">
        <f>IF(Eingabe_u_Ergebnisübersicht!$F$8&lt;=I7,"",I7+1)</f>
        <v>2</v>
      </c>
      <c r="J8" s="2">
        <f>J7+1</f>
        <v>2012</v>
      </c>
      <c r="K8" s="32">
        <f aca="true" t="shared" si="9" ref="K8:K27">IF(B8="",0,Y8+Z8)</f>
        <v>285</v>
      </c>
      <c r="L8" s="32">
        <f t="shared" si="4"/>
        <v>357.035</v>
      </c>
      <c r="M8" s="214">
        <f t="shared" si="0"/>
        <v>-72.03500000000003</v>
      </c>
      <c r="N8" s="31">
        <f>IF(K8=0,0,PV(Eingabe_u_Ergebnisübersicht!$F$19/100,I8,,K8*-1))</f>
        <v>258.5034013605442</v>
      </c>
      <c r="O8" s="31">
        <f>IF(L8=0,0,PV(Eingabe_u_Ergebnisübersicht!$F$19/100,I8,,L8*-1))</f>
        <v>323.8412698412699</v>
      </c>
      <c r="P8" s="31">
        <f t="shared" si="1"/>
        <v>-65.33786848072566</v>
      </c>
      <c r="Q8" s="18"/>
      <c r="R8" s="104">
        <v>0.5</v>
      </c>
      <c r="S8" s="18">
        <f>R8*Eingabe_u_Ergebnisübersicht!$M$6</f>
        <v>5</v>
      </c>
      <c r="T8" s="160">
        <f>IF(B8="",0,SUM($S$7:S8))</f>
        <v>8</v>
      </c>
      <c r="U8" s="149">
        <f>IF(B8=0,SUM($S$7:S8),0)</f>
        <v>0</v>
      </c>
      <c r="V8" s="150">
        <f>IF(U8-(MAX($U$7:U7))&lt;0,0,U8-(MAX($U$7:U7)))</f>
        <v>0</v>
      </c>
      <c r="W8" s="37">
        <f>V8*Eingabe_u_Ergebnisübersicht!$M$8</f>
        <v>0</v>
      </c>
      <c r="X8" s="35">
        <f t="shared" si="5"/>
        <v>1.0201</v>
      </c>
      <c r="Y8" s="79">
        <f t="shared" si="6"/>
        <v>0</v>
      </c>
      <c r="Z8" s="173">
        <f aca="true" t="shared" si="10" ref="Z8:Z27">IF(B8="",0,IF(D8&lt;=$D$31,$E$31,IF(D8&lt;=$D$32,$E$32,IF(D8&lt;=$D$33,$E$33,$E$34))))</f>
        <v>285</v>
      </c>
      <c r="AA8" s="54">
        <f>IF(OR($B8="",$B8&gt;0),0,IF($I8&lt;=(MAX($I$7:$I$27)),Eingabe_u_Ergebnisübersicht!$M$13*$V8))</f>
        <v>0</v>
      </c>
      <c r="AB8" s="55">
        <f>IF(OR($B8="",$B8&gt;0),0,IF($I8&lt;=(MAX($I$7:$I$27)),Eingabe_u_Ergebnisübersicht!$M$14*$V8))</f>
        <v>0</v>
      </c>
      <c r="AC8" s="55">
        <f>IF(OR($B8="",$B8&gt;0),0,IF($I8&lt;=(MAX($I$7:$I$27)),Eingabe_u_Ergebnisübersicht!$M$15*$V8))</f>
        <v>0</v>
      </c>
      <c r="AD8" s="54">
        <f>IF(OR($B8="",$B8&gt;0),0,IF($I8&lt;(MAX($I$7:$I$27)),Eingabe_u_Ergebnisübersicht!$M$16+Eingabe_u_Ergebnisübersicht!$M$17,Eingabe_u_Ergebnisübersicht!$M$16))</f>
        <v>0</v>
      </c>
      <c r="AE8" s="56">
        <f>SUM(AA8:AD8)</f>
        <v>0</v>
      </c>
      <c r="AF8" s="50">
        <f aca="true" t="shared" si="11" ref="AF8:AF27">AF7+AF7*$AF$5</f>
        <v>1.0201</v>
      </c>
      <c r="AG8" s="53">
        <f aca="true" t="shared" si="12" ref="AG8:AG27">AE8*AF8</f>
        <v>0</v>
      </c>
      <c r="AH8" s="36">
        <f>IF(B8="",0,Eingabe_u_Ergebnisübersicht!$M$18)</f>
        <v>200</v>
      </c>
      <c r="AI8" s="166">
        <f t="shared" si="7"/>
        <v>1.0201</v>
      </c>
      <c r="AJ8" s="93">
        <f aca="true" t="shared" si="13" ref="AJ8:AJ27">AH8*AI8</f>
        <v>204.02</v>
      </c>
      <c r="AK8" s="57">
        <f>IF(B8="",0,Eingabe_u_Ergebnisübersicht!$M$19)</f>
        <v>100</v>
      </c>
      <c r="AL8" s="58">
        <f aca="true" t="shared" si="14" ref="AL8:AL27">AL7+AL7*$AL$5</f>
        <v>1.0201</v>
      </c>
      <c r="AM8" s="170">
        <f aca="true" t="shared" si="15" ref="AM8:AM27">AK8*AL8</f>
        <v>102.01</v>
      </c>
      <c r="AN8" s="57">
        <f>IF(B8="",0,Eingabe_u_Ergebnisübersicht!$M$20)</f>
        <v>50</v>
      </c>
      <c r="AO8" s="58">
        <f aca="true" t="shared" si="16" ref="AO8:AO27">AO7+AO7*$AO$5</f>
        <v>1.0201</v>
      </c>
      <c r="AP8" s="170">
        <f aca="true" t="shared" si="17" ref="AP8:AP27">AN8*AO8</f>
        <v>51.005</v>
      </c>
      <c r="AQ8" s="36">
        <f>IF(I8=(MAX($I$7:$I$27)),Eingabe_u_Ergebnisübersicht!$F$17,0)</f>
        <v>0</v>
      </c>
      <c r="AR8" s="35">
        <f aca="true" t="shared" si="18" ref="AR8:AR27">AR7+AR7*$AR$5</f>
        <v>1</v>
      </c>
      <c r="AS8" s="172">
        <f aca="true" t="shared" si="19" ref="AS8:AS27">AQ8*AR8</f>
        <v>0</v>
      </c>
      <c r="AU8" s="93">
        <f>IF(K8=0,0,PV(Eingabe_u_Ergebnisübersicht!$F$19/100,I8,,Y8*-1))</f>
        <v>0</v>
      </c>
      <c r="AV8" s="93">
        <f>IF(B8="","",SUM($P$6:P8)+$P$28)</f>
        <v>-2949.5183283597744</v>
      </c>
      <c r="AW8" s="93">
        <f t="shared" si="8"/>
        <v>0</v>
      </c>
      <c r="AX8" s="93">
        <f aca="true" t="shared" si="20" ref="AX8:AX28">IF(AW8&gt;0,A8,"")</f>
      </c>
    </row>
    <row r="9" spans="1:50" ht="12.75">
      <c r="A9">
        <v>3</v>
      </c>
      <c r="B9" s="24">
        <f>IF(I9="","",MOD(I9,Eingabe_u_Ergebnisübersicht!$F$6))</f>
        <v>0</v>
      </c>
      <c r="D9" s="141">
        <f aca="true" t="shared" si="21" ref="D9:D27">D8+1</f>
        <v>2013</v>
      </c>
      <c r="E9" s="62" t="str">
        <f t="shared" si="2"/>
        <v>ERNTE</v>
      </c>
      <c r="G9" s="62" t="str">
        <f t="shared" si="3"/>
        <v>ERNTE1</v>
      </c>
      <c r="H9" s="106">
        <f>COUNTIF($E$7:E9,"ERNTE")</f>
        <v>1</v>
      </c>
      <c r="I9" s="2">
        <f>IF(Eingabe_u_Ergebnisübersicht!$F$8&lt;=I8,"",I8+1)</f>
        <v>3</v>
      </c>
      <c r="J9" s="2">
        <f aca="true" t="shared" si="22" ref="J9:J27">J8+1</f>
        <v>2013</v>
      </c>
      <c r="K9" s="32">
        <f t="shared" si="9"/>
        <v>1438.9371199999998</v>
      </c>
      <c r="L9" s="32">
        <f t="shared" si="4"/>
        <v>1056.058525</v>
      </c>
      <c r="M9" s="214">
        <f t="shared" si="0"/>
        <v>382.8785949999999</v>
      </c>
      <c r="N9" s="31">
        <f>IF(K9=0,0,PV(Eingabe_u_Ergebnisübersicht!$F$19/100,I9,,K9*-1))</f>
        <v>1243.0079861785982</v>
      </c>
      <c r="O9" s="31">
        <f>IF(L9=0,0,PV(Eingabe_u_Ergebnisübersicht!$F$19/100,I9,,L9*-1))</f>
        <v>912.2630601446926</v>
      </c>
      <c r="P9" s="31">
        <f t="shared" si="1"/>
        <v>330.7449260339056</v>
      </c>
      <c r="Q9" s="18"/>
      <c r="R9" s="104">
        <v>0.6</v>
      </c>
      <c r="S9" s="18">
        <f>R9*Eingabe_u_Ergebnisübersicht!$M$6</f>
        <v>6</v>
      </c>
      <c r="T9" s="160">
        <f>IF(B9="",0,SUM($S$7:S9))</f>
        <v>14</v>
      </c>
      <c r="U9" s="149">
        <f>IF(B9=0,SUM($S$7:S9),0)</f>
        <v>14</v>
      </c>
      <c r="V9" s="150">
        <f>IF(U9-(MAX($U$7:U8))&lt;0,0,U9-(MAX($U$7:U8)))</f>
        <v>14</v>
      </c>
      <c r="W9" s="37">
        <f>V9*Eingabe_u_Ergebnisübersicht!$M$8</f>
        <v>1120</v>
      </c>
      <c r="X9" s="35">
        <f t="shared" si="5"/>
        <v>1.030301</v>
      </c>
      <c r="Y9" s="79">
        <f t="shared" si="6"/>
        <v>1153.9371199999998</v>
      </c>
      <c r="Z9" s="173">
        <f t="shared" si="10"/>
        <v>285</v>
      </c>
      <c r="AA9" s="54">
        <f>IF(OR($B9="",$B9&gt;0),0,IF($I9&lt;=(MAX($I$7:$I$27)),Eingabe_u_Ergebnisübersicht!$M$13*$V9))</f>
        <v>280</v>
      </c>
      <c r="AB9" s="55">
        <f>IF(OR($B9="",$B9&gt;0),0,IF($I9&lt;=(MAX($I$7:$I$27)),Eingabe_u_Ergebnisübersicht!$M$14*$V9))</f>
        <v>70</v>
      </c>
      <c r="AC9" s="55">
        <f>IF(OR($B9="",$B9&gt;0),0,IF($I9&lt;=(MAX($I$7:$I$27)),Eingabe_u_Ergebnisübersicht!$M$15*$V9))</f>
        <v>140</v>
      </c>
      <c r="AD9" s="54">
        <f>IF(OR($B9="",$B9&gt;0),0,IF($I9&lt;(MAX($I$7:$I$27)),Eingabe_u_Ergebnisübersicht!$M$16+Eingabe_u_Ergebnisübersicht!$M$17,Eingabe_u_Ergebnisübersicht!$M$16))</f>
        <v>185</v>
      </c>
      <c r="AE9" s="56">
        <f>SUM(AA9:AD9)</f>
        <v>675</v>
      </c>
      <c r="AF9" s="50">
        <f t="shared" si="11"/>
        <v>1.030301</v>
      </c>
      <c r="AG9" s="53">
        <f t="shared" si="12"/>
        <v>695.453175</v>
      </c>
      <c r="AH9" s="36">
        <f>IF(B9="",0,Eingabe_u_Ergebnisübersicht!$M$18)</f>
        <v>200</v>
      </c>
      <c r="AI9" s="166">
        <f t="shared" si="7"/>
        <v>1.030301</v>
      </c>
      <c r="AJ9" s="93">
        <f t="shared" si="13"/>
        <v>206.06019999999998</v>
      </c>
      <c r="AK9" s="57">
        <f>IF(B9="",0,Eingabe_u_Ergebnisübersicht!$M$19)</f>
        <v>100</v>
      </c>
      <c r="AL9" s="58">
        <f t="shared" si="14"/>
        <v>1.030301</v>
      </c>
      <c r="AM9" s="170">
        <f t="shared" si="15"/>
        <v>103.03009999999999</v>
      </c>
      <c r="AN9" s="57">
        <f>IF(B9="",0,Eingabe_u_Ergebnisübersicht!$M$20)</f>
        <v>50</v>
      </c>
      <c r="AO9" s="58">
        <f t="shared" si="16"/>
        <v>1.030301</v>
      </c>
      <c r="AP9" s="170">
        <f t="shared" si="17"/>
        <v>51.515049999999995</v>
      </c>
      <c r="AQ9" s="36">
        <f>IF(I9=(MAX($I$7:$I$27)),Eingabe_u_Ergebnisübersicht!$F$17,0)</f>
        <v>0</v>
      </c>
      <c r="AR9" s="35">
        <f t="shared" si="18"/>
        <v>1</v>
      </c>
      <c r="AS9" s="172">
        <f t="shared" si="19"/>
        <v>0</v>
      </c>
      <c r="AU9" s="93">
        <f>IF(K9=0,0,PV(Eingabe_u_Ergebnisübersicht!$F$19/100,I9,,Y9*-1))</f>
        <v>996.8142705971275</v>
      </c>
      <c r="AV9" s="93">
        <f>IF(B9="","",SUM($P$6:P9)+$P$28)</f>
        <v>-2618.773402325869</v>
      </c>
      <c r="AW9" s="93">
        <f t="shared" si="8"/>
        <v>0</v>
      </c>
      <c r="AX9" s="93">
        <f t="shared" si="20"/>
      </c>
    </row>
    <row r="10" spans="1:50" ht="12.75">
      <c r="A10">
        <v>4</v>
      </c>
      <c r="B10" s="24">
        <f>IF(I10="","",MOD(I10,Eingabe_u_Ergebnisübersicht!$F$6))</f>
        <v>1</v>
      </c>
      <c r="D10" s="141">
        <f t="shared" si="21"/>
        <v>2014</v>
      </c>
      <c r="E10" s="62">
        <f t="shared" si="2"/>
      </c>
      <c r="G10" s="62">
        <f t="shared" si="3"/>
      </c>
      <c r="H10" s="106">
        <f>COUNTIF($E$7:E10,"ERNTE")</f>
        <v>1</v>
      </c>
      <c r="I10" s="2">
        <f>IF(Eingabe_u_Ergebnisübersicht!$F$8&lt;=I9,"",I9+1)</f>
        <v>4</v>
      </c>
      <c r="J10" s="2">
        <f t="shared" si="22"/>
        <v>2014</v>
      </c>
      <c r="K10" s="32">
        <f t="shared" si="9"/>
        <v>250</v>
      </c>
      <c r="L10" s="32">
        <f t="shared" si="4"/>
        <v>364.21140349999996</v>
      </c>
      <c r="M10" s="214">
        <f t="shared" si="0"/>
        <v>-114.21140349999996</v>
      </c>
      <c r="N10" s="31">
        <f>IF(K10=0,0,PV(Eingabe_u_Ergebnisübersicht!$F$19/100,I10,,K10*-1))</f>
        <v>205.6756186979705</v>
      </c>
      <c r="O10" s="31">
        <f>IF(L10=0,0,PV(Eingabe_u_Ergebnisübersicht!$F$19/100,I10,,L10*-1))</f>
        <v>299.63762300687466</v>
      </c>
      <c r="P10" s="31">
        <f t="shared" si="1"/>
        <v>-93.96200430890417</v>
      </c>
      <c r="Q10" s="18"/>
      <c r="R10" s="104">
        <v>0.7</v>
      </c>
      <c r="S10" s="18">
        <f>R10*Eingabe_u_Ergebnisübersicht!$M$6</f>
        <v>7</v>
      </c>
      <c r="T10" s="160">
        <f>IF(B10="",0,SUM($S$7:S10))</f>
        <v>21</v>
      </c>
      <c r="U10" s="149">
        <f>IF(B10=0,SUM($S$7:S10),0)</f>
        <v>0</v>
      </c>
      <c r="V10" s="150">
        <f>IF(U10-(MAX($U$7:U9))&lt;0,0,U10-(MAX($U$7:U9)))</f>
        <v>0</v>
      </c>
      <c r="W10" s="37">
        <f>V10*Eingabe_u_Ergebnisübersicht!$M$8</f>
        <v>0</v>
      </c>
      <c r="X10" s="35">
        <f t="shared" si="5"/>
        <v>1.0406040099999998</v>
      </c>
      <c r="Y10" s="79">
        <f t="shared" si="6"/>
        <v>0</v>
      </c>
      <c r="Z10" s="173">
        <f t="shared" si="10"/>
        <v>250</v>
      </c>
      <c r="AA10" s="54">
        <f>IF(OR($B10="",$B10&gt;0),0,IF($I10&lt;=(MAX($I$7:$I$27)),Eingabe_u_Ergebnisübersicht!$M$13*$V10))</f>
        <v>0</v>
      </c>
      <c r="AB10" s="55">
        <f>IF(OR($B10="",$B10&gt;0),0,IF($I10&lt;=(MAX($I$7:$I$27)),Eingabe_u_Ergebnisübersicht!$M$14*$V10))</f>
        <v>0</v>
      </c>
      <c r="AC10" s="55">
        <f>IF(OR($B10="",$B10&gt;0),0,IF($I10&lt;=(MAX($I$7:$I$27)),Eingabe_u_Ergebnisübersicht!$M$15*$V10))</f>
        <v>0</v>
      </c>
      <c r="AD10" s="54">
        <f>IF(OR($B10="",$B10&gt;0),0,IF($I10&lt;(MAX($I$7:$I$27)),Eingabe_u_Ergebnisübersicht!$M$16+Eingabe_u_Ergebnisübersicht!$M$17,Eingabe_u_Ergebnisübersicht!$M$16))</f>
        <v>0</v>
      </c>
      <c r="AE10" s="56">
        <f aca="true" t="shared" si="23" ref="AE10:AE27">SUM(AA10:AD10)</f>
        <v>0</v>
      </c>
      <c r="AF10" s="50">
        <f t="shared" si="11"/>
        <v>1.0406040099999998</v>
      </c>
      <c r="AG10" s="53">
        <f t="shared" si="12"/>
        <v>0</v>
      </c>
      <c r="AH10" s="36">
        <f>IF(B10="",0,Eingabe_u_Ergebnisübersicht!$M$18)</f>
        <v>200</v>
      </c>
      <c r="AI10" s="166">
        <f t="shared" si="7"/>
        <v>1.0406040099999998</v>
      </c>
      <c r="AJ10" s="93">
        <f t="shared" si="13"/>
        <v>208.12080199999997</v>
      </c>
      <c r="AK10" s="57">
        <f>IF(B10="",0,Eingabe_u_Ergebnisübersicht!$M$19)</f>
        <v>100</v>
      </c>
      <c r="AL10" s="58">
        <f t="shared" si="14"/>
        <v>1.0406040099999998</v>
      </c>
      <c r="AM10" s="170">
        <f t="shared" si="15"/>
        <v>104.06040099999998</v>
      </c>
      <c r="AN10" s="57">
        <f>IF(B10="",0,Eingabe_u_Ergebnisübersicht!$M$20)</f>
        <v>50</v>
      </c>
      <c r="AO10" s="58">
        <f t="shared" si="16"/>
        <v>1.0406040099999998</v>
      </c>
      <c r="AP10" s="170">
        <f t="shared" si="17"/>
        <v>52.03020049999999</v>
      </c>
      <c r="AQ10" s="36">
        <f>IF(I10=(MAX($I$7:$I$27)),Eingabe_u_Ergebnisübersicht!$F$17,0)</f>
        <v>0</v>
      </c>
      <c r="AR10" s="35">
        <f t="shared" si="18"/>
        <v>1</v>
      </c>
      <c r="AS10" s="172">
        <f t="shared" si="19"/>
        <v>0</v>
      </c>
      <c r="AU10" s="93">
        <f>IF(K10=0,0,PV(Eingabe_u_Ergebnisübersicht!$F$19/100,I10,,Y10*-1))</f>
        <v>0</v>
      </c>
      <c r="AV10" s="93">
        <f>IF(B10="","",SUM($P$6:P10)+$P$28)</f>
        <v>-2712.7354066347734</v>
      </c>
      <c r="AW10" s="93">
        <f t="shared" si="8"/>
        <v>0</v>
      </c>
      <c r="AX10" s="93">
        <f t="shared" si="20"/>
      </c>
    </row>
    <row r="11" spans="1:50" ht="12.75">
      <c r="A11">
        <v>5</v>
      </c>
      <c r="B11" s="24">
        <f>IF(I11="","",MOD(I11,Eingabe_u_Ergebnisübersicht!$F$6))</f>
        <v>2</v>
      </c>
      <c r="D11" s="141">
        <f t="shared" si="21"/>
        <v>2015</v>
      </c>
      <c r="E11" s="62">
        <f t="shared" si="2"/>
      </c>
      <c r="G11" s="62">
        <f t="shared" si="3"/>
      </c>
      <c r="H11" s="106">
        <f>COUNTIF($E$7:E11,"ERNTE")</f>
        <v>1</v>
      </c>
      <c r="I11" s="2">
        <f>IF(Eingabe_u_Ergebnisübersicht!$F$8&lt;=I10,"",I10+1)</f>
        <v>5</v>
      </c>
      <c r="J11" s="2">
        <f t="shared" si="22"/>
        <v>2015</v>
      </c>
      <c r="K11" s="32">
        <f t="shared" si="9"/>
        <v>250</v>
      </c>
      <c r="L11" s="32">
        <f t="shared" si="4"/>
        <v>367.85351753499987</v>
      </c>
      <c r="M11" s="214">
        <f t="shared" si="0"/>
        <v>-117.85351753499987</v>
      </c>
      <c r="N11" s="31">
        <f>IF(K11=0,0,PV(Eingabe_u_Ergebnisübersicht!$F$19/100,I11,,K11*-1))</f>
        <v>195.88154161711475</v>
      </c>
      <c r="O11" s="31">
        <f>IF(L11=0,0,PV(Eingabe_u_Ergebnisübersicht!$F$19/100,I11,,L11*-1))</f>
        <v>288.2228564161365</v>
      </c>
      <c r="P11" s="31">
        <f t="shared" si="1"/>
        <v>-92.34131479902175</v>
      </c>
      <c r="Q11" s="18"/>
      <c r="R11" s="104">
        <v>0.9</v>
      </c>
      <c r="S11" s="18">
        <f>R11*Eingabe_u_Ergebnisübersicht!$M$6</f>
        <v>9</v>
      </c>
      <c r="T11" s="160">
        <f>IF(B11="",0,SUM($S$7:S11))</f>
        <v>30</v>
      </c>
      <c r="U11" s="149">
        <f>IF(B11=0,SUM($S$7:S11),0)</f>
        <v>0</v>
      </c>
      <c r="V11" s="150">
        <f>IF(U11-(MAX($U$7:U10))&lt;0,0,U11-(MAX($U$7:U10)))</f>
        <v>0</v>
      </c>
      <c r="W11" s="37">
        <f>V11*Eingabe_u_Ergebnisübersicht!$M$8</f>
        <v>0</v>
      </c>
      <c r="X11" s="35">
        <f t="shared" si="5"/>
        <v>1.0510100500999997</v>
      </c>
      <c r="Y11" s="79">
        <f t="shared" si="6"/>
        <v>0</v>
      </c>
      <c r="Z11" s="173">
        <f t="shared" si="10"/>
        <v>250</v>
      </c>
      <c r="AA11" s="54">
        <f>IF(OR($B11="",$B11&gt;0),0,IF($I11&lt;=(MAX($I$7:$I$27)),Eingabe_u_Ergebnisübersicht!$M$13*$V11))</f>
        <v>0</v>
      </c>
      <c r="AB11" s="55">
        <f>IF(OR($B11="",$B11&gt;0),0,IF($I11&lt;=(MAX($I$7:$I$27)),Eingabe_u_Ergebnisübersicht!$M$14*$V11))</f>
        <v>0</v>
      </c>
      <c r="AC11" s="55">
        <f>IF(OR($B11="",$B11&gt;0),0,IF($I11&lt;=(MAX($I$7:$I$27)),Eingabe_u_Ergebnisübersicht!$M$15*$V11))</f>
        <v>0</v>
      </c>
      <c r="AD11" s="54">
        <f>IF(OR($B11="",$B11&gt;0),0,IF($I11&lt;(MAX($I$7:$I$27)),Eingabe_u_Ergebnisübersicht!$M$16+Eingabe_u_Ergebnisübersicht!$M$17,Eingabe_u_Ergebnisübersicht!$M$16))</f>
        <v>0</v>
      </c>
      <c r="AE11" s="56">
        <f t="shared" si="23"/>
        <v>0</v>
      </c>
      <c r="AF11" s="50">
        <f t="shared" si="11"/>
        <v>1.0510100500999997</v>
      </c>
      <c r="AG11" s="53">
        <f t="shared" si="12"/>
        <v>0</v>
      </c>
      <c r="AH11" s="36">
        <f>IF(B11="",0,Eingabe_u_Ergebnisübersicht!$M$18)</f>
        <v>200</v>
      </c>
      <c r="AI11" s="166">
        <f t="shared" si="7"/>
        <v>1.0510100500999997</v>
      </c>
      <c r="AJ11" s="93">
        <f t="shared" si="13"/>
        <v>210.20201001999993</v>
      </c>
      <c r="AK11" s="57">
        <f>IF(B11="",0,Eingabe_u_Ergebnisübersicht!$M$19)</f>
        <v>100</v>
      </c>
      <c r="AL11" s="58">
        <f t="shared" si="14"/>
        <v>1.0510100500999997</v>
      </c>
      <c r="AM11" s="170">
        <f t="shared" si="15"/>
        <v>105.10100500999997</v>
      </c>
      <c r="AN11" s="57">
        <f>IF(B11="",0,Eingabe_u_Ergebnisübersicht!$M$20)</f>
        <v>50</v>
      </c>
      <c r="AO11" s="58">
        <f t="shared" si="16"/>
        <v>1.0510100500999997</v>
      </c>
      <c r="AP11" s="170">
        <f t="shared" si="17"/>
        <v>52.55050250499998</v>
      </c>
      <c r="AQ11" s="36">
        <f>IF(I11=(MAX($I$7:$I$27)),Eingabe_u_Ergebnisübersicht!$F$17,0)</f>
        <v>0</v>
      </c>
      <c r="AR11" s="35">
        <f t="shared" si="18"/>
        <v>1</v>
      </c>
      <c r="AS11" s="172">
        <f t="shared" si="19"/>
        <v>0</v>
      </c>
      <c r="AU11" s="93">
        <f>IF(K11=0,0,PV(Eingabe_u_Ergebnisübersicht!$F$19/100,I11,,Y11*-1))</f>
        <v>0</v>
      </c>
      <c r="AV11" s="93">
        <f>IF(B11="","",SUM($P$6:P11)+$P$28)</f>
        <v>-2805.076721433795</v>
      </c>
      <c r="AW11" s="93">
        <f t="shared" si="8"/>
        <v>0</v>
      </c>
      <c r="AX11" s="93">
        <f t="shared" si="20"/>
      </c>
    </row>
    <row r="12" spans="1:50" ht="12.75">
      <c r="A12">
        <v>6</v>
      </c>
      <c r="B12" s="24">
        <f>IF(I12="","",MOD(I12,Eingabe_u_Ergebnisübersicht!$F$6))</f>
        <v>0</v>
      </c>
      <c r="D12" s="141">
        <f t="shared" si="21"/>
        <v>2016</v>
      </c>
      <c r="E12" s="62" t="str">
        <f t="shared" si="2"/>
        <v>ERNTE</v>
      </c>
      <c r="G12" s="62" t="str">
        <f t="shared" si="3"/>
        <v>ERNTE2</v>
      </c>
      <c r="H12" s="106">
        <f>COUNTIF($E$7:E12,"ERNTE")</f>
        <v>2</v>
      </c>
      <c r="I12" s="2">
        <f>IF(Eingabe_u_Ergebnisübersicht!$F$8&lt;=I11,"",I11+1)</f>
        <v>6</v>
      </c>
      <c r="J12" s="2">
        <f t="shared" si="22"/>
        <v>2016</v>
      </c>
      <c r="K12" s="32">
        <f t="shared" si="9"/>
        <v>2542.8835252981594</v>
      </c>
      <c r="L12" s="32">
        <f t="shared" si="4"/>
        <v>1571.0498228894796</v>
      </c>
      <c r="M12" s="214">
        <f t="shared" si="0"/>
        <v>971.8337024086798</v>
      </c>
      <c r="N12" s="31">
        <f>IF(K12=0,0,PV(Eingabe_u_Ergebnisübersicht!$F$19/100,I12,,K12*-1))</f>
        <v>1897.538838431112</v>
      </c>
      <c r="O12" s="31">
        <f>IF(L12=0,0,PV(Eingabe_u_Ergebnisübersicht!$F$19/100,I12,,L12*-1))</f>
        <v>1172.3415667233767</v>
      </c>
      <c r="P12" s="31">
        <f t="shared" si="1"/>
        <v>725.1972717077354</v>
      </c>
      <c r="Q12" s="18"/>
      <c r="R12" s="104">
        <v>1.1</v>
      </c>
      <c r="S12" s="18">
        <f>R12*Eingabe_u_Ergebnisübersicht!$M$6</f>
        <v>11</v>
      </c>
      <c r="T12" s="160">
        <f>IF(B12="",0,SUM($S$7:S12))</f>
        <v>41</v>
      </c>
      <c r="U12" s="149">
        <f>IF(B12=0,SUM($S$7:S12),0)</f>
        <v>41</v>
      </c>
      <c r="V12" s="150">
        <f>IF(U12-(MAX($U$7:U11))&lt;0,0,U12-(MAX($U$7:U11)))</f>
        <v>27</v>
      </c>
      <c r="W12" s="37">
        <f>V12*Eingabe_u_Ergebnisübersicht!$M$8</f>
        <v>2160</v>
      </c>
      <c r="X12" s="35">
        <f t="shared" si="5"/>
        <v>1.0615201506009997</v>
      </c>
      <c r="Y12" s="79">
        <f t="shared" si="6"/>
        <v>2292.8835252981594</v>
      </c>
      <c r="Z12" s="173">
        <f t="shared" si="10"/>
        <v>250</v>
      </c>
      <c r="AA12" s="54">
        <f>IF(OR($B12="",$B12&gt;0),0,IF($I12&lt;=(MAX($I$7:$I$27)),Eingabe_u_Ergebnisübersicht!$M$13*$V12))</f>
        <v>540</v>
      </c>
      <c r="AB12" s="55">
        <f>IF(OR($B12="",$B12&gt;0),0,IF($I12&lt;=(MAX($I$7:$I$27)),Eingabe_u_Ergebnisübersicht!$M$14*$V12))</f>
        <v>135</v>
      </c>
      <c r="AC12" s="55">
        <f>IF(OR($B12="",$B12&gt;0),0,IF($I12&lt;=(MAX($I$7:$I$27)),Eingabe_u_Ergebnisübersicht!$M$15*$V12))</f>
        <v>270</v>
      </c>
      <c r="AD12" s="54">
        <f>IF(OR($B12="",$B12&gt;0),0,IF($I12&lt;(MAX($I$7:$I$27)),Eingabe_u_Ergebnisübersicht!$M$16+Eingabe_u_Ergebnisübersicht!$M$17,Eingabe_u_Ergebnisübersicht!$M$16))</f>
        <v>185</v>
      </c>
      <c r="AE12" s="56">
        <f t="shared" si="23"/>
        <v>1130</v>
      </c>
      <c r="AF12" s="50">
        <f t="shared" si="11"/>
        <v>1.0615201506009997</v>
      </c>
      <c r="AG12" s="53">
        <f t="shared" si="12"/>
        <v>1199.5177701791297</v>
      </c>
      <c r="AH12" s="36">
        <f>IF(B12="",0,Eingabe_u_Ergebnisübersicht!$M$18)</f>
        <v>200</v>
      </c>
      <c r="AI12" s="166">
        <f t="shared" si="7"/>
        <v>1.0615201506009997</v>
      </c>
      <c r="AJ12" s="93">
        <f t="shared" si="13"/>
        <v>212.30403012019994</v>
      </c>
      <c r="AK12" s="57">
        <f>IF(B12="",0,Eingabe_u_Ergebnisübersicht!$M$19)</f>
        <v>100</v>
      </c>
      <c r="AL12" s="58">
        <f t="shared" si="14"/>
        <v>1.0615201506009997</v>
      </c>
      <c r="AM12" s="170">
        <f t="shared" si="15"/>
        <v>106.15201506009997</v>
      </c>
      <c r="AN12" s="57">
        <f>IF(B12="",0,Eingabe_u_Ergebnisübersicht!$M$20)</f>
        <v>50</v>
      </c>
      <c r="AO12" s="58">
        <f t="shared" si="16"/>
        <v>1.0615201506009997</v>
      </c>
      <c r="AP12" s="170">
        <f t="shared" si="17"/>
        <v>53.076007530049985</v>
      </c>
      <c r="AQ12" s="36">
        <f>IF(I12=(MAX($I$7:$I$27)),Eingabe_u_Ergebnisübersicht!$F$17,0)</f>
        <v>0</v>
      </c>
      <c r="AR12" s="35">
        <f t="shared" si="18"/>
        <v>1</v>
      </c>
      <c r="AS12" s="172">
        <f t="shared" si="19"/>
        <v>0</v>
      </c>
      <c r="AU12" s="93">
        <f>IF(K12=0,0,PV(Eingabe_u_Ergebnisübersicht!$F$19/100,I12,,Y12*-1))</f>
        <v>1710.984989271955</v>
      </c>
      <c r="AV12" s="93">
        <f>IF(B12="","",SUM($P$6:P12)+$P$28)</f>
        <v>-2079.8794497260596</v>
      </c>
      <c r="AW12" s="93">
        <f t="shared" si="8"/>
        <v>0</v>
      </c>
      <c r="AX12" s="93">
        <f t="shared" si="20"/>
      </c>
    </row>
    <row r="13" spans="1:50" ht="12.75">
      <c r="A13">
        <v>7</v>
      </c>
      <c r="B13" s="24">
        <f>IF(I13="","",MOD(I13,Eingabe_u_Ergebnisübersicht!$F$6))</f>
        <v>1</v>
      </c>
      <c r="D13" s="141">
        <f t="shared" si="21"/>
        <v>2017</v>
      </c>
      <c r="E13" s="62">
        <f t="shared" si="2"/>
      </c>
      <c r="G13" s="62">
        <f t="shared" si="3"/>
      </c>
      <c r="H13" s="106">
        <f>COUNTIF($E$7:E13,"ERNTE")</f>
        <v>2</v>
      </c>
      <c r="I13" s="2">
        <f>IF(Eingabe_u_Ergebnisübersicht!$F$8&lt;=I12,"",I12+1)</f>
        <v>7</v>
      </c>
      <c r="J13" s="2">
        <f t="shared" si="22"/>
        <v>2017</v>
      </c>
      <c r="K13" s="32">
        <f t="shared" si="9"/>
        <v>250</v>
      </c>
      <c r="L13" s="32">
        <f t="shared" si="4"/>
        <v>375.2473732374534</v>
      </c>
      <c r="M13" s="214">
        <f t="shared" si="0"/>
        <v>-125.24737323745342</v>
      </c>
      <c r="N13" s="31">
        <f>IF(K13=0,0,PV(Eingabe_u_Ergebnisübersicht!$F$19/100,I13,,K13*-1))</f>
        <v>177.67033253253035</v>
      </c>
      <c r="O13" s="31">
        <f>IF(L13=0,0,PV(Eingabe_u_Ergebnisübersicht!$F$19/100,I13,,L13*-1))</f>
        <v>266.68130234022755</v>
      </c>
      <c r="P13" s="31">
        <f t="shared" si="1"/>
        <v>-89.0109698076972</v>
      </c>
      <c r="Q13" s="18"/>
      <c r="R13" s="104">
        <v>1.2</v>
      </c>
      <c r="S13" s="298">
        <f>R13*Eingabe_u_Ergebnisübersicht!$M$6</f>
        <v>12</v>
      </c>
      <c r="T13" s="299">
        <f>IF(B13="",0,SUM($S$7:S13))</f>
        <v>53</v>
      </c>
      <c r="U13" s="299">
        <f>IF(B13=0,SUM($S$7:S13),0)</f>
        <v>0</v>
      </c>
      <c r="V13" s="300">
        <f>IF(U13-(MAX($U$7:U12))&lt;0,0,U13-(MAX($U$7:U12)))</f>
        <v>0</v>
      </c>
      <c r="W13" s="37">
        <f>V13*Eingabe_u_Ergebnisübersicht!$M$8</f>
        <v>0</v>
      </c>
      <c r="X13" s="35">
        <f t="shared" si="5"/>
        <v>1.0721353521070096</v>
      </c>
      <c r="Y13" s="79">
        <f t="shared" si="6"/>
        <v>0</v>
      </c>
      <c r="Z13" s="173">
        <f t="shared" si="10"/>
        <v>250</v>
      </c>
      <c r="AA13" s="54">
        <f>IF(OR($B13="",$B13&gt;0),0,IF($I13&lt;=(MAX($I$7:$I$27)),Eingabe_u_Ergebnisübersicht!$M$13*$V13))</f>
        <v>0</v>
      </c>
      <c r="AB13" s="55">
        <f>IF(OR($B13="",$B13&gt;0),0,IF($I13&lt;=(MAX($I$7:$I$27)),Eingabe_u_Ergebnisübersicht!$M$14*$V13))</f>
        <v>0</v>
      </c>
      <c r="AC13" s="55">
        <f>IF(OR($B13="",$B13&gt;0),0,IF($I13&lt;=(MAX($I$7:$I$27)),Eingabe_u_Ergebnisübersicht!$M$15*$V13))</f>
        <v>0</v>
      </c>
      <c r="AD13" s="54">
        <f>IF(OR($B13="",$B13&gt;0),0,IF($I13&lt;(MAX($I$7:$I$27)),Eingabe_u_Ergebnisübersicht!$M$16+Eingabe_u_Ergebnisübersicht!$M$17,Eingabe_u_Ergebnisübersicht!$M$16))</f>
        <v>0</v>
      </c>
      <c r="AE13" s="56">
        <f t="shared" si="23"/>
        <v>0</v>
      </c>
      <c r="AF13" s="50">
        <f t="shared" si="11"/>
        <v>1.0721353521070096</v>
      </c>
      <c r="AG13" s="53">
        <f t="shared" si="12"/>
        <v>0</v>
      </c>
      <c r="AH13" s="36">
        <f>IF(B13="",0,Eingabe_u_Ergebnisübersicht!$M$18)</f>
        <v>200</v>
      </c>
      <c r="AI13" s="166">
        <f t="shared" si="7"/>
        <v>1.0721353521070096</v>
      </c>
      <c r="AJ13" s="93">
        <f t="shared" si="13"/>
        <v>214.42707042140194</v>
      </c>
      <c r="AK13" s="57">
        <f>IF(B13="",0,Eingabe_u_Ergebnisübersicht!$M$19)</f>
        <v>100</v>
      </c>
      <c r="AL13" s="58">
        <f t="shared" si="14"/>
        <v>1.0721353521070096</v>
      </c>
      <c r="AM13" s="170">
        <f t="shared" si="15"/>
        <v>107.21353521070097</v>
      </c>
      <c r="AN13" s="57">
        <f>IF(B13="",0,Eingabe_u_Ergebnisübersicht!$M$20)</f>
        <v>50</v>
      </c>
      <c r="AO13" s="58">
        <f t="shared" si="16"/>
        <v>1.0721353521070096</v>
      </c>
      <c r="AP13" s="170">
        <f t="shared" si="17"/>
        <v>53.606767605350484</v>
      </c>
      <c r="AQ13" s="36">
        <f>IF(I13=(MAX($I$7:$I$27)),Eingabe_u_Ergebnisübersicht!$F$17,0)</f>
        <v>0</v>
      </c>
      <c r="AR13" s="35">
        <f t="shared" si="18"/>
        <v>1</v>
      </c>
      <c r="AS13" s="172">
        <f t="shared" si="19"/>
        <v>0</v>
      </c>
      <c r="AU13" s="93">
        <f>IF(K13=0,0,PV(Eingabe_u_Ergebnisübersicht!$F$19/100,I13,,Y13*-1))</f>
        <v>0</v>
      </c>
      <c r="AV13" s="93">
        <f>IF(B13="","",SUM($P$6:P13)+$P$28)</f>
        <v>-2168.890419533757</v>
      </c>
      <c r="AW13" s="93">
        <f t="shared" si="8"/>
        <v>0</v>
      </c>
      <c r="AX13" s="93">
        <f t="shared" si="20"/>
      </c>
    </row>
    <row r="14" spans="1:50" ht="12.75">
      <c r="A14">
        <v>8</v>
      </c>
      <c r="B14" s="24">
        <f>IF(I14="","",MOD(I14,Eingabe_u_Ergebnisübersicht!$F$6))</f>
        <v>2</v>
      </c>
      <c r="D14" s="141">
        <f t="shared" si="21"/>
        <v>2018</v>
      </c>
      <c r="E14" s="62">
        <f t="shared" si="2"/>
      </c>
      <c r="G14" s="62">
        <f t="shared" si="3"/>
      </c>
      <c r="H14" s="106">
        <f>COUNTIF($E$7:E14,"ERNTE")</f>
        <v>2</v>
      </c>
      <c r="I14" s="2">
        <f>IF(Eingabe_u_Ergebnisübersicht!$F$8&lt;=I13,"",I13+1)</f>
        <v>8</v>
      </c>
      <c r="J14" s="2">
        <f t="shared" si="22"/>
        <v>2018</v>
      </c>
      <c r="K14" s="32">
        <f t="shared" si="9"/>
        <v>250</v>
      </c>
      <c r="L14" s="32">
        <f t="shared" si="4"/>
        <v>378.9998469698279</v>
      </c>
      <c r="M14" s="214">
        <f t="shared" si="0"/>
        <v>-128.9998469698279</v>
      </c>
      <c r="N14" s="31">
        <f>IF(K14=0,0,PV(Eingabe_u_Ergebnisübersicht!$F$19/100,I14,,K14*-1))</f>
        <v>169.2098405071718</v>
      </c>
      <c r="O14" s="31">
        <f>IF(L14=0,0,PV(Eingabe_u_Ergebnisübersicht!$F$19/100,I14,,L14*-1))</f>
        <v>256.5220146320284</v>
      </c>
      <c r="P14" s="31">
        <f t="shared" si="1"/>
        <v>-87.3121741248566</v>
      </c>
      <c r="Q14" s="18"/>
      <c r="R14" s="104">
        <v>1.3</v>
      </c>
      <c r="S14" s="298">
        <f>R14*Eingabe_u_Ergebnisübersicht!$M$6</f>
        <v>13</v>
      </c>
      <c r="T14" s="299">
        <f>IF(B14="",0,SUM($S$7:S14))</f>
        <v>66</v>
      </c>
      <c r="U14" s="299">
        <f>IF(B14=0,SUM($S$7:S14),0)</f>
        <v>0</v>
      </c>
      <c r="V14" s="300">
        <f>IF(U14-(MAX($U$7:U13))&lt;0,0,U14-(MAX($U$7:U13)))</f>
        <v>0</v>
      </c>
      <c r="W14" s="37">
        <f>V14*Eingabe_u_Ergebnisübersicht!$M$8</f>
        <v>0</v>
      </c>
      <c r="X14" s="35">
        <f t="shared" si="5"/>
        <v>1.0828567056280798</v>
      </c>
      <c r="Y14" s="79">
        <f t="shared" si="6"/>
        <v>0</v>
      </c>
      <c r="Z14" s="173">
        <f t="shared" si="10"/>
        <v>250</v>
      </c>
      <c r="AA14" s="54">
        <f>IF(OR($B14="",$B14&gt;0),0,IF($I14&lt;=(MAX($I$7:$I$27)),Eingabe_u_Ergebnisübersicht!$M$13*$V14))</f>
        <v>0</v>
      </c>
      <c r="AB14" s="55">
        <f>IF(OR($B14="",$B14&gt;0),0,IF($I14&lt;=(MAX($I$7:$I$27)),Eingabe_u_Ergebnisübersicht!$M$14*$V14))</f>
        <v>0</v>
      </c>
      <c r="AC14" s="55">
        <f>IF(OR($B14="",$B14&gt;0),0,IF($I14&lt;=(MAX($I$7:$I$27)),Eingabe_u_Ergebnisübersicht!$M$15*$V14))</f>
        <v>0</v>
      </c>
      <c r="AD14" s="54">
        <f>IF(OR($B14="",$B14&gt;0),0,IF($I14&lt;(MAX($I$7:$I$27)),Eingabe_u_Ergebnisübersicht!$M$16+Eingabe_u_Ergebnisübersicht!$M$17,Eingabe_u_Ergebnisübersicht!$M$16))</f>
        <v>0</v>
      </c>
      <c r="AE14" s="56">
        <f t="shared" si="23"/>
        <v>0</v>
      </c>
      <c r="AF14" s="50">
        <f t="shared" si="11"/>
        <v>1.0828567056280798</v>
      </c>
      <c r="AG14" s="53">
        <f t="shared" si="12"/>
        <v>0</v>
      </c>
      <c r="AH14" s="36">
        <f>IF(B14="",0,Eingabe_u_Ergebnisübersicht!$M$18)</f>
        <v>200</v>
      </c>
      <c r="AI14" s="166">
        <f t="shared" si="7"/>
        <v>1.0828567056280798</v>
      </c>
      <c r="AJ14" s="93">
        <f t="shared" si="13"/>
        <v>216.57134112561596</v>
      </c>
      <c r="AK14" s="57">
        <f>IF(B14="",0,Eingabe_u_Ergebnisübersicht!$M$19)</f>
        <v>100</v>
      </c>
      <c r="AL14" s="58">
        <f t="shared" si="14"/>
        <v>1.0828567056280798</v>
      </c>
      <c r="AM14" s="170">
        <f t="shared" si="15"/>
        <v>108.28567056280798</v>
      </c>
      <c r="AN14" s="57">
        <f>IF(B14="",0,Eingabe_u_Ergebnisübersicht!$M$20)</f>
        <v>50</v>
      </c>
      <c r="AO14" s="58">
        <f t="shared" si="16"/>
        <v>1.0828567056280798</v>
      </c>
      <c r="AP14" s="170">
        <f t="shared" si="17"/>
        <v>54.14283528140399</v>
      </c>
      <c r="AQ14" s="36">
        <f>IF(I14=(MAX($I$7:$I$27)),Eingabe_u_Ergebnisübersicht!$F$17,0)</f>
        <v>0</v>
      </c>
      <c r="AR14" s="35">
        <f t="shared" si="18"/>
        <v>1</v>
      </c>
      <c r="AS14" s="172">
        <f t="shared" si="19"/>
        <v>0</v>
      </c>
      <c r="AU14" s="93">
        <f>IF(K14=0,0,PV(Eingabe_u_Ergebnisübersicht!$F$19/100,I14,,Y14*-1))</f>
        <v>0</v>
      </c>
      <c r="AV14" s="93">
        <f>IF(B14="","",SUM($P$6:P14)+$P$28)</f>
        <v>-2256.2025936586133</v>
      </c>
      <c r="AW14" s="93">
        <f t="shared" si="8"/>
        <v>0</v>
      </c>
      <c r="AX14" s="93">
        <f t="shared" si="20"/>
      </c>
    </row>
    <row r="15" spans="1:50" ht="12.75">
      <c r="A15">
        <v>9</v>
      </c>
      <c r="B15" s="24">
        <f>IF(I15="","",MOD(I15,Eingabe_u_Ergebnisübersicht!$F$6))</f>
        <v>0</v>
      </c>
      <c r="D15" s="141">
        <f t="shared" si="21"/>
        <v>2019</v>
      </c>
      <c r="E15" s="62" t="str">
        <f t="shared" si="2"/>
        <v>ERNTE</v>
      </c>
      <c r="G15" s="62" t="str">
        <f t="shared" si="3"/>
        <v>ERNTE3</v>
      </c>
      <c r="H15" s="106">
        <f>COUNTIF($E$7:E15,"ERNTE")</f>
        <v>3</v>
      </c>
      <c r="I15" s="2">
        <f>IF(Eingabe_u_Ergebnisübersicht!$F$8&lt;=I14,"",I14+1)</f>
        <v>9</v>
      </c>
      <c r="J15" s="2">
        <f t="shared" si="22"/>
        <v>2019</v>
      </c>
      <c r="K15" s="32">
        <f t="shared" si="9"/>
        <v>3574.8032289604566</v>
      </c>
      <c r="L15" s="32">
        <f t="shared" si="4"/>
        <v>2039.7230335563327</v>
      </c>
      <c r="M15" s="214">
        <f t="shared" si="0"/>
        <v>1535.080195404124</v>
      </c>
      <c r="N15" s="31">
        <f>IF(K15=0,0,PV(Eingabe_u_Ergebnisübersicht!$F$19/100,I15,,K15*-1))</f>
        <v>2304.350035112082</v>
      </c>
      <c r="O15" s="31">
        <f>IF(L15=0,0,PV(Eingabe_u_Ergebnisübersicht!$F$19/100,I15,,L15*-1))</f>
        <v>1314.8236540452253</v>
      </c>
      <c r="P15" s="31">
        <f t="shared" si="1"/>
        <v>989.5263810668566</v>
      </c>
      <c r="Q15" s="18"/>
      <c r="R15" s="104">
        <v>1.3</v>
      </c>
      <c r="S15" s="298">
        <f>R15*Eingabe_u_Ergebnisübersicht!$M$6</f>
        <v>13</v>
      </c>
      <c r="T15" s="299">
        <f>IF(B15="",0,SUM($S$7:S15))</f>
        <v>79</v>
      </c>
      <c r="U15" s="299">
        <f>IF(B15=0,SUM($S$7:S15),0)</f>
        <v>79</v>
      </c>
      <c r="V15" s="300">
        <f>IF(U15-(MAX($U$7:U14))&lt;0,0,U15-(MAX($U$7:U14)))</f>
        <v>38</v>
      </c>
      <c r="W15" s="37">
        <f>V15*Eingabe_u_Ergebnisübersicht!$M$8</f>
        <v>3040</v>
      </c>
      <c r="X15" s="35">
        <f t="shared" si="5"/>
        <v>1.0936852726843607</v>
      </c>
      <c r="Y15" s="79">
        <f t="shared" si="6"/>
        <v>3324.8032289604566</v>
      </c>
      <c r="Z15" s="173">
        <f t="shared" si="10"/>
        <v>250</v>
      </c>
      <c r="AA15" s="54">
        <f>IF(OR($B15="",$B15&gt;0),0,IF($I15&lt;=(MAX($I$7:$I$27)),Eingabe_u_Ergebnisübersicht!$M$13*$V15))</f>
        <v>760</v>
      </c>
      <c r="AB15" s="55">
        <f>IF(OR($B15="",$B15&gt;0),0,IF($I15&lt;=(MAX($I$7:$I$27)),Eingabe_u_Ergebnisübersicht!$M$14*$V15))</f>
        <v>190</v>
      </c>
      <c r="AC15" s="55">
        <f>IF(OR($B15="",$B15&gt;0),0,IF($I15&lt;=(MAX($I$7:$I$27)),Eingabe_u_Ergebnisübersicht!$M$15*$V15))</f>
        <v>380</v>
      </c>
      <c r="AD15" s="54">
        <f>IF(OR($B15="",$B15&gt;0),0,IF($I15&lt;(MAX($I$7:$I$27)),Eingabe_u_Ergebnisübersicht!$M$16+Eingabe_u_Ergebnisübersicht!$M$17,Eingabe_u_Ergebnisübersicht!$M$16))</f>
        <v>185</v>
      </c>
      <c r="AE15" s="56">
        <f t="shared" si="23"/>
        <v>1515</v>
      </c>
      <c r="AF15" s="50">
        <f t="shared" si="11"/>
        <v>1.0936852726843607</v>
      </c>
      <c r="AG15" s="53">
        <f t="shared" si="12"/>
        <v>1656.9331881168064</v>
      </c>
      <c r="AH15" s="36">
        <f>IF(B15="",0,Eingabe_u_Ergebnisübersicht!$M$18)</f>
        <v>200</v>
      </c>
      <c r="AI15" s="166">
        <f t="shared" si="7"/>
        <v>1.0936852726843607</v>
      </c>
      <c r="AJ15" s="93">
        <f t="shared" si="13"/>
        <v>218.73705453687214</v>
      </c>
      <c r="AK15" s="57">
        <f>IF(B15="",0,Eingabe_u_Ergebnisübersicht!$M$19)</f>
        <v>100</v>
      </c>
      <c r="AL15" s="58">
        <f t="shared" si="14"/>
        <v>1.0936852726843607</v>
      </c>
      <c r="AM15" s="170">
        <f t="shared" si="15"/>
        <v>109.36852726843607</v>
      </c>
      <c r="AN15" s="57">
        <f>IF(B15="",0,Eingabe_u_Ergebnisübersicht!$M$20)</f>
        <v>50</v>
      </c>
      <c r="AO15" s="58">
        <f t="shared" si="16"/>
        <v>1.0936852726843607</v>
      </c>
      <c r="AP15" s="170">
        <f t="shared" si="17"/>
        <v>54.684263634218034</v>
      </c>
      <c r="AQ15" s="36">
        <f>IF(I15=(MAX($I$7:$I$27)),Eingabe_u_Ergebnisübersicht!$F$17,0)</f>
        <v>0</v>
      </c>
      <c r="AR15" s="35">
        <f t="shared" si="18"/>
        <v>1</v>
      </c>
      <c r="AS15" s="172">
        <f t="shared" si="19"/>
        <v>0</v>
      </c>
      <c r="AU15" s="93">
        <f>IF(K15=0,0,PV(Eingabe_u_Ergebnisübersicht!$F$19/100,I15,,Y15*-1))</f>
        <v>2143.197806057633</v>
      </c>
      <c r="AV15" s="93">
        <f>IF(B15="","",SUM($P$6:P15)+$P$28)</f>
        <v>-1266.676212591757</v>
      </c>
      <c r="AW15" s="93">
        <f t="shared" si="8"/>
        <v>0</v>
      </c>
      <c r="AX15" s="93">
        <f t="shared" si="20"/>
      </c>
    </row>
    <row r="16" spans="1:50" ht="12.75">
      <c r="A16">
        <v>10</v>
      </c>
      <c r="B16" s="24">
        <f>IF(I16="","",MOD(I16,Eingabe_u_Ergebnisübersicht!$F$6))</f>
        <v>1</v>
      </c>
      <c r="D16" s="141">
        <f t="shared" si="21"/>
        <v>2020</v>
      </c>
      <c r="E16" s="62">
        <f t="shared" si="2"/>
      </c>
      <c r="G16" s="62">
        <f t="shared" si="3"/>
      </c>
      <c r="H16" s="106">
        <f>COUNTIF($E$7:E16,"ERNTE")</f>
        <v>3</v>
      </c>
      <c r="I16" s="2">
        <f>IF(Eingabe_u_Ergebnisübersicht!$F$8&lt;=I15,"",I15+1)</f>
        <v>10</v>
      </c>
      <c r="J16" s="2">
        <f t="shared" si="22"/>
        <v>2020</v>
      </c>
      <c r="K16" s="32">
        <f t="shared" si="9"/>
        <v>250</v>
      </c>
      <c r="L16" s="32">
        <f t="shared" si="4"/>
        <v>386.61774389392156</v>
      </c>
      <c r="M16" s="214">
        <f t="shared" si="0"/>
        <v>-136.61774389392156</v>
      </c>
      <c r="N16" s="31">
        <f>IF(K16=0,0,PV(Eingabe_u_Ergebnisübersicht!$F$19/100,I16,,K16*-1))</f>
        <v>153.47831338518984</v>
      </c>
      <c r="O16" s="31">
        <f>IF(L16=0,0,PV(Eingabe_u_Ergebnisübersicht!$F$19/100,I16,,L16*-1))</f>
        <v>237.3497570305054</v>
      </c>
      <c r="P16" s="31">
        <f t="shared" si="1"/>
        <v>-83.87144364531557</v>
      </c>
      <c r="Q16" s="18"/>
      <c r="R16" s="104">
        <v>1.3</v>
      </c>
      <c r="S16" s="298">
        <f>R16*Eingabe_u_Ergebnisübersicht!$M$6</f>
        <v>13</v>
      </c>
      <c r="T16" s="299">
        <f>IF(B16="",0,SUM($S$7:S16))</f>
        <v>92</v>
      </c>
      <c r="U16" s="299">
        <f>IF(B16=0,SUM($S$7:S16),0)</f>
        <v>0</v>
      </c>
      <c r="V16" s="300">
        <f>IF(U16-(MAX($U$7:U15))&lt;0,0,U16-(MAX($U$7:U15)))</f>
        <v>0</v>
      </c>
      <c r="W16" s="37">
        <f>V16*Eingabe_u_Ergebnisübersicht!$M$8</f>
        <v>0</v>
      </c>
      <c r="X16" s="35">
        <f t="shared" si="5"/>
        <v>1.1046221254112043</v>
      </c>
      <c r="Y16" s="79">
        <f t="shared" si="6"/>
        <v>0</v>
      </c>
      <c r="Z16" s="173">
        <f t="shared" si="10"/>
        <v>250</v>
      </c>
      <c r="AA16" s="54">
        <f>IF(OR($B16="",$B16&gt;0),0,IF($I16&lt;=(MAX($I$7:$I$27)),Eingabe_u_Ergebnisübersicht!$M$13*$V16))</f>
        <v>0</v>
      </c>
      <c r="AB16" s="55">
        <f>IF(OR($B16="",$B16&gt;0),0,IF($I16&lt;=(MAX($I$7:$I$27)),Eingabe_u_Ergebnisübersicht!$M$14*$V16))</f>
        <v>0</v>
      </c>
      <c r="AC16" s="55">
        <f>IF(OR($B16="",$B16&gt;0),0,IF($I16&lt;=(MAX($I$7:$I$27)),Eingabe_u_Ergebnisübersicht!$M$15*$V16))</f>
        <v>0</v>
      </c>
      <c r="AD16" s="54">
        <f>IF(OR($B16="",$B16&gt;0),0,IF($I16&lt;(MAX($I$7:$I$27)),Eingabe_u_Ergebnisübersicht!$M$16+Eingabe_u_Ergebnisübersicht!$M$17,Eingabe_u_Ergebnisübersicht!$M$16))</f>
        <v>0</v>
      </c>
      <c r="AE16" s="56">
        <f t="shared" si="23"/>
        <v>0</v>
      </c>
      <c r="AF16" s="50">
        <f t="shared" si="11"/>
        <v>1.1046221254112043</v>
      </c>
      <c r="AG16" s="53">
        <f t="shared" si="12"/>
        <v>0</v>
      </c>
      <c r="AH16" s="36">
        <f>IF(B16="",0,Eingabe_u_Ergebnisübersicht!$M$18)</f>
        <v>200</v>
      </c>
      <c r="AI16" s="166">
        <f t="shared" si="7"/>
        <v>1.1046221254112043</v>
      </c>
      <c r="AJ16" s="93">
        <f t="shared" si="13"/>
        <v>220.92442508224087</v>
      </c>
      <c r="AK16" s="57">
        <f>IF(B16="",0,Eingabe_u_Ergebnisübersicht!$M$19)</f>
        <v>100</v>
      </c>
      <c r="AL16" s="58">
        <f t="shared" si="14"/>
        <v>1.1046221254112043</v>
      </c>
      <c r="AM16" s="170">
        <f t="shared" si="15"/>
        <v>110.46221254112044</v>
      </c>
      <c r="AN16" s="57">
        <f>IF(B16="",0,Eingabe_u_Ergebnisübersicht!$M$20)</f>
        <v>50</v>
      </c>
      <c r="AO16" s="58">
        <f t="shared" si="16"/>
        <v>1.1046221254112043</v>
      </c>
      <c r="AP16" s="170">
        <f t="shared" si="17"/>
        <v>55.23110627056022</v>
      </c>
      <c r="AQ16" s="36">
        <f>IF(I16=(MAX($I$7:$I$27)),Eingabe_u_Ergebnisübersicht!$F$17,0)</f>
        <v>0</v>
      </c>
      <c r="AR16" s="35">
        <f t="shared" si="18"/>
        <v>1</v>
      </c>
      <c r="AS16" s="172">
        <f t="shared" si="19"/>
        <v>0</v>
      </c>
      <c r="AU16" s="93">
        <f>IF(K16=0,0,PV(Eingabe_u_Ergebnisübersicht!$F$19/100,I16,,Y16*-1))</f>
        <v>0</v>
      </c>
      <c r="AV16" s="93">
        <f>IF(B16="","",SUM($P$6:P16)+$P$28)</f>
        <v>-1350.5476562370725</v>
      </c>
      <c r="AW16" s="93">
        <f t="shared" si="8"/>
        <v>0</v>
      </c>
      <c r="AX16" s="93">
        <f t="shared" si="20"/>
      </c>
    </row>
    <row r="17" spans="1:50" ht="12.75">
      <c r="A17">
        <v>11</v>
      </c>
      <c r="B17" s="24">
        <f>IF(I17="","",MOD(I17,Eingabe_u_Ergebnisübersicht!$F$6))</f>
        <v>2</v>
      </c>
      <c r="D17" s="141">
        <f t="shared" si="21"/>
        <v>2021</v>
      </c>
      <c r="E17" s="62">
        <f t="shared" si="2"/>
      </c>
      <c r="G17" s="62">
        <f t="shared" si="3"/>
      </c>
      <c r="H17" s="106">
        <f>COUNTIF($E$7:E17,"ERNTE")</f>
        <v>3</v>
      </c>
      <c r="I17" s="2">
        <f>IF(Eingabe_u_Ergebnisübersicht!$F$8&lt;=I16,"",I16+1)</f>
        <v>11</v>
      </c>
      <c r="J17" s="2">
        <f t="shared" si="22"/>
        <v>2021</v>
      </c>
      <c r="K17" s="32">
        <f t="shared" si="9"/>
        <v>200</v>
      </c>
      <c r="L17" s="32">
        <f t="shared" si="4"/>
        <v>390.48392133286075</v>
      </c>
      <c r="M17" s="214">
        <f t="shared" si="0"/>
        <v>-190.48392133286075</v>
      </c>
      <c r="N17" s="31">
        <f>IF(K17=0,0,PV(Eingabe_u_Ergebnisübersicht!$F$19/100,I17,,K17*-1))</f>
        <v>116.93585781728748</v>
      </c>
      <c r="O17" s="31">
        <f>IF(L17=0,0,PV(Eingabe_u_Ergebnisübersicht!$F$19/100,I17,,L17*-1))</f>
        <v>228.30786152458137</v>
      </c>
      <c r="P17" s="31">
        <f t="shared" si="1"/>
        <v>-111.37200370729389</v>
      </c>
      <c r="Q17" s="18"/>
      <c r="R17" s="104">
        <v>1.3</v>
      </c>
      <c r="S17" s="298">
        <f>R17*Eingabe_u_Ergebnisübersicht!$M$6</f>
        <v>13</v>
      </c>
      <c r="T17" s="299">
        <f>IF(B17="",0,SUM($S$7:S17))</f>
        <v>105</v>
      </c>
      <c r="U17" s="299">
        <f>IF(B17=0,SUM($S$7:S17),0)</f>
        <v>0</v>
      </c>
      <c r="V17" s="300">
        <f>IF(U17-(MAX($U$7:U16))&lt;0,0,U17-(MAX($U$7:U16)))</f>
        <v>0</v>
      </c>
      <c r="W17" s="37">
        <f>V17*Eingabe_u_Ergebnisübersicht!$M$8</f>
        <v>0</v>
      </c>
      <c r="X17" s="35">
        <f t="shared" si="5"/>
        <v>1.1156683466653163</v>
      </c>
      <c r="Y17" s="79">
        <f t="shared" si="6"/>
        <v>0</v>
      </c>
      <c r="Z17" s="173">
        <f t="shared" si="10"/>
        <v>200</v>
      </c>
      <c r="AA17" s="54">
        <f>IF(OR($B17="",$B17&gt;0),0,IF($I17&lt;=(MAX($I$7:$I$27)),Eingabe_u_Ergebnisübersicht!$M$13*$V17))</f>
        <v>0</v>
      </c>
      <c r="AB17" s="55">
        <f>IF(OR($B17="",$B17&gt;0),0,IF($I17&lt;=(MAX($I$7:$I$27)),Eingabe_u_Ergebnisübersicht!$M$14*$V17))</f>
        <v>0</v>
      </c>
      <c r="AC17" s="55">
        <f>IF(OR($B17="",$B17&gt;0),0,IF($I17&lt;=(MAX($I$7:$I$27)),Eingabe_u_Ergebnisübersicht!$M$15*$V17))</f>
        <v>0</v>
      </c>
      <c r="AD17" s="54">
        <f>IF(OR($B17="",$B17&gt;0),0,IF($I17&lt;(MAX($I$7:$I$27)),Eingabe_u_Ergebnisübersicht!$M$16+Eingabe_u_Ergebnisübersicht!$M$17,Eingabe_u_Ergebnisübersicht!$M$16))</f>
        <v>0</v>
      </c>
      <c r="AE17" s="56">
        <f t="shared" si="23"/>
        <v>0</v>
      </c>
      <c r="AF17" s="50">
        <f t="shared" si="11"/>
        <v>1.1156683466653163</v>
      </c>
      <c r="AG17" s="53">
        <f t="shared" si="12"/>
        <v>0</v>
      </c>
      <c r="AH17" s="36">
        <f>IF(B17="",0,Eingabe_u_Ergebnisübersicht!$M$18)</f>
        <v>200</v>
      </c>
      <c r="AI17" s="166">
        <f t="shared" si="7"/>
        <v>1.1156683466653163</v>
      </c>
      <c r="AJ17" s="93">
        <f t="shared" si="13"/>
        <v>223.13366933306327</v>
      </c>
      <c r="AK17" s="57">
        <f>IF(B17="",0,Eingabe_u_Ergebnisübersicht!$M$19)</f>
        <v>100</v>
      </c>
      <c r="AL17" s="58">
        <f t="shared" si="14"/>
        <v>1.1156683466653163</v>
      </c>
      <c r="AM17" s="170">
        <f t="shared" si="15"/>
        <v>111.56683466653163</v>
      </c>
      <c r="AN17" s="57">
        <f>IF(B17="",0,Eingabe_u_Ergebnisübersicht!$M$20)</f>
        <v>50</v>
      </c>
      <c r="AO17" s="58">
        <f t="shared" si="16"/>
        <v>1.1156683466653163</v>
      </c>
      <c r="AP17" s="170">
        <f t="shared" si="17"/>
        <v>55.78341733326582</v>
      </c>
      <c r="AQ17" s="36">
        <f>IF(I17=(MAX($I$7:$I$27)),Eingabe_u_Ergebnisübersicht!$F$17,0)</f>
        <v>0</v>
      </c>
      <c r="AR17" s="35">
        <f t="shared" si="18"/>
        <v>1</v>
      </c>
      <c r="AS17" s="172">
        <f t="shared" si="19"/>
        <v>0</v>
      </c>
      <c r="AU17" s="93">
        <f>IF(K17=0,0,PV(Eingabe_u_Ergebnisübersicht!$F$19/100,I17,,Y17*-1))</f>
        <v>0</v>
      </c>
      <c r="AV17" s="93">
        <f>IF(B17="","",SUM($P$6:P17)+$P$28)</f>
        <v>-1461.9196599443665</v>
      </c>
      <c r="AW17" s="93">
        <f t="shared" si="8"/>
        <v>0</v>
      </c>
      <c r="AX17" s="93">
        <f t="shared" si="20"/>
      </c>
    </row>
    <row r="18" spans="1:50" ht="12.75">
      <c r="A18">
        <v>12</v>
      </c>
      <c r="B18" s="24">
        <f>IF(I18="","",MOD(I18,Eingabe_u_Ergebnisübersicht!$F$6))</f>
        <v>0</v>
      </c>
      <c r="D18" s="141">
        <f t="shared" si="21"/>
        <v>2022</v>
      </c>
      <c r="E18" s="62" t="str">
        <f t="shared" si="2"/>
        <v>ERNTE</v>
      </c>
      <c r="G18" s="62" t="str">
        <f t="shared" si="3"/>
        <v>ERNTE4</v>
      </c>
      <c r="H18" s="106">
        <f>COUNTIF($E$7:E18,"ERNTE")</f>
        <v>4</v>
      </c>
      <c r="I18" s="2">
        <f>IF(Eingabe_u_Ergebnisübersicht!$F$8&lt;=I17,"",I17+1)</f>
        <v>12</v>
      </c>
      <c r="J18" s="2">
        <f t="shared" si="22"/>
        <v>2022</v>
      </c>
      <c r="K18" s="32">
        <f t="shared" si="9"/>
        <v>3715.694094011745</v>
      </c>
      <c r="L18" s="32">
        <f t="shared" si="4"/>
        <v>2140.967557250742</v>
      </c>
      <c r="M18" s="214">
        <f t="shared" si="0"/>
        <v>1574.726536761003</v>
      </c>
      <c r="N18" s="31">
        <f>IF(K18=0,0,PV(Eingabe_u_Ergebnisübersicht!$F$19/100,I18,,K18*-1))</f>
        <v>2069.0375060471065</v>
      </c>
      <c r="O18" s="31">
        <f>IF(L18=0,0,PV(Eingabe_u_Ergebnisübersicht!$F$19/100,I18,,L18*-1))</f>
        <v>1192.1708469814196</v>
      </c>
      <c r="P18" s="31">
        <f t="shared" si="1"/>
        <v>876.8666590656869</v>
      </c>
      <c r="Q18" s="18"/>
      <c r="R18" s="104">
        <v>1.3</v>
      </c>
      <c r="S18" s="298">
        <f>R18*Eingabe_u_Ergebnisübersicht!$M$6</f>
        <v>13</v>
      </c>
      <c r="T18" s="299">
        <f>IF(B18="",0,SUM($S$7:S18))</f>
        <v>118</v>
      </c>
      <c r="U18" s="299">
        <f>IF(B18=0,SUM($S$7:S18),0)</f>
        <v>118</v>
      </c>
      <c r="V18" s="300">
        <f>IF(U18-(MAX($U$7:U17))&lt;0,0,U18-(MAX($U$7:U17)))</f>
        <v>39</v>
      </c>
      <c r="W18" s="37">
        <f>V18*Eingabe_u_Ergebnisübersicht!$M$8</f>
        <v>3120</v>
      </c>
      <c r="X18" s="35">
        <f t="shared" si="5"/>
        <v>1.1268250301319696</v>
      </c>
      <c r="Y18" s="79">
        <f t="shared" si="6"/>
        <v>3515.694094011745</v>
      </c>
      <c r="Z18" s="173">
        <f t="shared" si="10"/>
        <v>200</v>
      </c>
      <c r="AA18" s="54">
        <f>IF(OR($B18="",$B18&gt;0),0,IF($I18&lt;=(MAX($I$7:$I$27)),Eingabe_u_Ergebnisübersicht!$M$13*$V18))</f>
        <v>780</v>
      </c>
      <c r="AB18" s="55">
        <f>IF(OR($B18="",$B18&gt;0),0,IF($I18&lt;=(MAX($I$7:$I$27)),Eingabe_u_Ergebnisübersicht!$M$14*$V18))</f>
        <v>195</v>
      </c>
      <c r="AC18" s="55">
        <f>IF(OR($B18="",$B18&gt;0),0,IF($I18&lt;=(MAX($I$7:$I$27)),Eingabe_u_Ergebnisübersicht!$M$15*$V18))</f>
        <v>390</v>
      </c>
      <c r="AD18" s="54">
        <f>IF(OR($B18="",$B18&gt;0),0,IF($I18&lt;(MAX($I$7:$I$27)),Eingabe_u_Ergebnisübersicht!$M$16+Eingabe_u_Ergebnisübersicht!$M$17,Eingabe_u_Ergebnisübersicht!$M$16))</f>
        <v>185</v>
      </c>
      <c r="AE18" s="56">
        <f t="shared" si="23"/>
        <v>1550</v>
      </c>
      <c r="AF18" s="50">
        <f t="shared" si="11"/>
        <v>1.1268250301319696</v>
      </c>
      <c r="AG18" s="53">
        <f t="shared" si="12"/>
        <v>1746.5787967045528</v>
      </c>
      <c r="AH18" s="36">
        <f>IF(B18="",0,Eingabe_u_Ergebnisübersicht!$M$18)</f>
        <v>200</v>
      </c>
      <c r="AI18" s="166">
        <f t="shared" si="7"/>
        <v>1.1268250301319696</v>
      </c>
      <c r="AJ18" s="93">
        <f t="shared" si="13"/>
        <v>225.3650060263939</v>
      </c>
      <c r="AK18" s="57">
        <f>IF(B18="",0,Eingabe_u_Ergebnisübersicht!$M$19)</f>
        <v>100</v>
      </c>
      <c r="AL18" s="58">
        <f t="shared" si="14"/>
        <v>1.1268250301319696</v>
      </c>
      <c r="AM18" s="170">
        <f t="shared" si="15"/>
        <v>112.68250301319695</v>
      </c>
      <c r="AN18" s="57">
        <f>IF(B18="",0,Eingabe_u_Ergebnisübersicht!$M$20)</f>
        <v>50</v>
      </c>
      <c r="AO18" s="58">
        <f t="shared" si="16"/>
        <v>1.1268250301319696</v>
      </c>
      <c r="AP18" s="170">
        <f t="shared" si="17"/>
        <v>56.341251506598475</v>
      </c>
      <c r="AQ18" s="36">
        <f>IF(I18=(MAX($I$7:$I$27)),Eingabe_u_Ergebnisübersicht!$F$17,0)</f>
        <v>0</v>
      </c>
      <c r="AR18" s="35">
        <f t="shared" si="18"/>
        <v>1</v>
      </c>
      <c r="AS18" s="172">
        <f t="shared" si="19"/>
        <v>0</v>
      </c>
      <c r="AU18" s="93">
        <f>IF(K18=0,0,PV(Eingabe_u_Ergebnisübersicht!$F$19/100,I18,,Y18*-1))</f>
        <v>1957.6700224115943</v>
      </c>
      <c r="AV18" s="93">
        <f>IF(B18="","",SUM($P$6:P18)+$P$28)</f>
        <v>-585.0530008786795</v>
      </c>
      <c r="AW18" s="93">
        <f t="shared" si="8"/>
        <v>0</v>
      </c>
      <c r="AX18" s="93">
        <f t="shared" si="20"/>
      </c>
    </row>
    <row r="19" spans="1:50" ht="12.75">
      <c r="A19">
        <v>13</v>
      </c>
      <c r="B19" s="24">
        <f>IF(I19="","",MOD(I19,Eingabe_u_Ergebnisübersicht!$F$6))</f>
        <v>1</v>
      </c>
      <c r="D19" s="141">
        <f t="shared" si="21"/>
        <v>2023</v>
      </c>
      <c r="E19" s="62">
        <f t="shared" si="2"/>
      </c>
      <c r="G19" s="62">
        <f t="shared" si="3"/>
      </c>
      <c r="H19" s="106">
        <f>COUNTIF($E$7:E19,"ERNTE")</f>
        <v>4</v>
      </c>
      <c r="I19" s="2">
        <f>IF(Eingabe_u_Ergebnisübersicht!$F$8&lt;=I18,"",I18+1)</f>
        <v>13</v>
      </c>
      <c r="J19" s="2">
        <f t="shared" si="22"/>
        <v>2023</v>
      </c>
      <c r="K19" s="32">
        <f t="shared" si="9"/>
        <v>200</v>
      </c>
      <c r="L19" s="32">
        <f t="shared" si="4"/>
        <v>398.33264815165126</v>
      </c>
      <c r="M19" s="214">
        <f t="shared" si="0"/>
        <v>-198.33264815165126</v>
      </c>
      <c r="N19" s="31">
        <f>IF(K19=0,0,PV(Eingabe_u_Ergebnisübersicht!$F$19/100,I19,,K19*-1))</f>
        <v>106.06427012905894</v>
      </c>
      <c r="O19" s="31">
        <f>IF(L19=0,0,PV(Eingabe_u_Ergebnisübersicht!$F$19/100,I19,,L19*-1))</f>
        <v>211.24430797390065</v>
      </c>
      <c r="P19" s="31">
        <f t="shared" si="1"/>
        <v>-105.1800378448417</v>
      </c>
      <c r="Q19" s="18"/>
      <c r="R19" s="104">
        <v>1.3</v>
      </c>
      <c r="S19" s="298">
        <f>R19*Eingabe_u_Ergebnisübersicht!$M$6</f>
        <v>13</v>
      </c>
      <c r="T19" s="299">
        <f>IF(B19="",0,SUM($S$7:S19))</f>
        <v>131</v>
      </c>
      <c r="U19" s="299">
        <f>IF(B19=0,SUM($S$7:S19),0)</f>
        <v>0</v>
      </c>
      <c r="V19" s="300">
        <f>IF(U19-(MAX($U$7:U18))&lt;0,0,U19-(MAX($U$7:U18)))</f>
        <v>0</v>
      </c>
      <c r="W19" s="37">
        <f>V19*Eingabe_u_Ergebnisübersicht!$M$8</f>
        <v>0</v>
      </c>
      <c r="X19" s="35">
        <f t="shared" si="5"/>
        <v>1.1380932804332893</v>
      </c>
      <c r="Y19" s="79">
        <f t="shared" si="6"/>
        <v>0</v>
      </c>
      <c r="Z19" s="173">
        <f t="shared" si="10"/>
        <v>200</v>
      </c>
      <c r="AA19" s="54">
        <f>IF(OR($B19="",$B19&gt;0),0,IF($I19&lt;=(MAX($I$7:$I$27)),Eingabe_u_Ergebnisübersicht!$M$13*$V19))</f>
        <v>0</v>
      </c>
      <c r="AB19" s="55">
        <f>IF(OR($B19="",$B19&gt;0),0,IF($I19&lt;=(MAX($I$7:$I$27)),Eingabe_u_Ergebnisübersicht!$M$14*$V19))</f>
        <v>0</v>
      </c>
      <c r="AC19" s="55">
        <f>IF(OR($B19="",$B19&gt;0),0,IF($I19&lt;=(MAX($I$7:$I$27)),Eingabe_u_Ergebnisübersicht!$M$15*$V19))</f>
        <v>0</v>
      </c>
      <c r="AD19" s="54">
        <f>IF(OR($B19="",$B19&gt;0),0,IF($I19&lt;(MAX($I$7:$I$27)),Eingabe_u_Ergebnisübersicht!$M$16+Eingabe_u_Ergebnisübersicht!$M$17,Eingabe_u_Ergebnisübersicht!$M$16))</f>
        <v>0</v>
      </c>
      <c r="AE19" s="56">
        <f t="shared" si="23"/>
        <v>0</v>
      </c>
      <c r="AF19" s="50">
        <f t="shared" si="11"/>
        <v>1.1380932804332893</v>
      </c>
      <c r="AG19" s="53">
        <f t="shared" si="12"/>
        <v>0</v>
      </c>
      <c r="AH19" s="36">
        <f>IF(B19="",0,Eingabe_u_Ergebnisübersicht!$M$18)</f>
        <v>200</v>
      </c>
      <c r="AI19" s="166">
        <f t="shared" si="7"/>
        <v>1.1380932804332893</v>
      </c>
      <c r="AJ19" s="93">
        <f t="shared" si="13"/>
        <v>227.61865608665786</v>
      </c>
      <c r="AK19" s="57">
        <f>IF(B19="",0,Eingabe_u_Ergebnisübersicht!$M$19)</f>
        <v>100</v>
      </c>
      <c r="AL19" s="58">
        <f t="shared" si="14"/>
        <v>1.1380932804332893</v>
      </c>
      <c r="AM19" s="170">
        <f t="shared" si="15"/>
        <v>113.80932804332893</v>
      </c>
      <c r="AN19" s="57">
        <f>IF(B19="",0,Eingabe_u_Ergebnisübersicht!$M$20)</f>
        <v>50</v>
      </c>
      <c r="AO19" s="58">
        <f t="shared" si="16"/>
        <v>1.1380932804332893</v>
      </c>
      <c r="AP19" s="170">
        <f t="shared" si="17"/>
        <v>56.904664021664466</v>
      </c>
      <c r="AQ19" s="36">
        <f>IF(I19=(MAX($I$7:$I$27)),Eingabe_u_Ergebnisübersicht!$F$17,0)</f>
        <v>0</v>
      </c>
      <c r="AR19" s="35">
        <f t="shared" si="18"/>
        <v>1</v>
      </c>
      <c r="AS19" s="172">
        <f t="shared" si="19"/>
        <v>0</v>
      </c>
      <c r="AU19" s="93">
        <f>IF(K19=0,0,PV(Eingabe_u_Ergebnisübersicht!$F$19/100,I19,,Y19*-1))</f>
        <v>0</v>
      </c>
      <c r="AV19" s="93">
        <f>IF(B19="","",SUM($P$6:P19)+$P$28)</f>
        <v>-690.2330387235213</v>
      </c>
      <c r="AW19" s="93">
        <f t="shared" si="8"/>
        <v>0</v>
      </c>
      <c r="AX19" s="93">
        <f t="shared" si="20"/>
      </c>
    </row>
    <row r="20" spans="1:50" ht="12.75">
      <c r="A20">
        <v>14</v>
      </c>
      <c r="B20" s="24">
        <f>IF(I20="","",MOD(I20,Eingabe_u_Ergebnisübersicht!$F$6))</f>
        <v>2</v>
      </c>
      <c r="D20" s="141">
        <f t="shared" si="21"/>
        <v>2024</v>
      </c>
      <c r="E20" s="62">
        <f t="shared" si="2"/>
      </c>
      <c r="G20" s="62">
        <f t="shared" si="3"/>
      </c>
      <c r="H20" s="106">
        <f>COUNTIF($E$7:E20,"ERNTE")</f>
        <v>4</v>
      </c>
      <c r="I20" s="2">
        <f>IF(Eingabe_u_Ergebnisübersicht!$F$8&lt;=I19,"",I19+1)</f>
        <v>14</v>
      </c>
      <c r="J20" s="2">
        <f t="shared" si="22"/>
        <v>2024</v>
      </c>
      <c r="K20" s="32">
        <f t="shared" si="9"/>
        <v>200</v>
      </c>
      <c r="L20" s="32">
        <f t="shared" si="4"/>
        <v>402.31597463316774</v>
      </c>
      <c r="M20" s="214">
        <f t="shared" si="0"/>
        <v>-202.31597463316774</v>
      </c>
      <c r="N20" s="31">
        <f>IF(K20=0,0,PV(Eingabe_u_Ergebnisübersicht!$F$19/100,I20,,K20*-1))</f>
        <v>101.01359059910376</v>
      </c>
      <c r="O20" s="31">
        <f>IF(L20=0,0,PV(Eingabe_u_Ergebnisübersicht!$F$19/100,I20,,L20*-1))</f>
        <v>203.19690576537113</v>
      </c>
      <c r="P20" s="31">
        <f t="shared" si="1"/>
        <v>-102.18331516626736</v>
      </c>
      <c r="Q20" s="18"/>
      <c r="R20" s="104">
        <v>1.2</v>
      </c>
      <c r="S20" s="298">
        <f>R20*Eingabe_u_Ergebnisübersicht!$M$6</f>
        <v>12</v>
      </c>
      <c r="T20" s="299">
        <f>IF(B20="",0,SUM($S$7:S20))</f>
        <v>143</v>
      </c>
      <c r="U20" s="299">
        <f>IF(B20=0,SUM($S$7:S20),0)</f>
        <v>0</v>
      </c>
      <c r="V20" s="300">
        <f>IF(U20-(MAX($U$7:U19))&lt;0,0,U20-(MAX($U$7:U19)))</f>
        <v>0</v>
      </c>
      <c r="W20" s="37">
        <f>V20*Eingabe_u_Ergebnisübersicht!$M$8</f>
        <v>0</v>
      </c>
      <c r="X20" s="35">
        <f t="shared" si="5"/>
        <v>1.1494742132376221</v>
      </c>
      <c r="Y20" s="79">
        <f t="shared" si="6"/>
        <v>0</v>
      </c>
      <c r="Z20" s="173">
        <f t="shared" si="10"/>
        <v>200</v>
      </c>
      <c r="AA20" s="54">
        <f>IF(OR($B20="",$B20&gt;0),0,IF($I20&lt;=(MAX($I$7:$I$27)),Eingabe_u_Ergebnisübersicht!$M$13*$V20))</f>
        <v>0</v>
      </c>
      <c r="AB20" s="55">
        <f>IF(OR($B20="",$B20&gt;0),0,IF($I20&lt;=(MAX($I$7:$I$27)),Eingabe_u_Ergebnisübersicht!$M$14*$V20))</f>
        <v>0</v>
      </c>
      <c r="AC20" s="55">
        <f>IF(OR($B20="",$B20&gt;0),0,IF($I20&lt;=(MAX($I$7:$I$27)),Eingabe_u_Ergebnisübersicht!$M$15*$V20))</f>
        <v>0</v>
      </c>
      <c r="AD20" s="54">
        <f>IF(OR($B20="",$B20&gt;0),0,IF($I20&lt;(MAX($I$7:$I$27)),Eingabe_u_Ergebnisübersicht!$M$16+Eingabe_u_Ergebnisübersicht!$M$17,Eingabe_u_Ergebnisübersicht!$M$16))</f>
        <v>0</v>
      </c>
      <c r="AE20" s="56">
        <f t="shared" si="23"/>
        <v>0</v>
      </c>
      <c r="AF20" s="50">
        <f t="shared" si="11"/>
        <v>1.1494742132376221</v>
      </c>
      <c r="AG20" s="53">
        <f t="shared" si="12"/>
        <v>0</v>
      </c>
      <c r="AH20" s="36">
        <f>IF(B20="",0,Eingabe_u_Ergebnisübersicht!$M$18)</f>
        <v>200</v>
      </c>
      <c r="AI20" s="166">
        <f t="shared" si="7"/>
        <v>1.1494742132376221</v>
      </c>
      <c r="AJ20" s="93">
        <f t="shared" si="13"/>
        <v>229.89484264752443</v>
      </c>
      <c r="AK20" s="57">
        <f>IF(B20="",0,Eingabe_u_Ergebnisübersicht!$M$19)</f>
        <v>100</v>
      </c>
      <c r="AL20" s="58">
        <f t="shared" si="14"/>
        <v>1.1494742132376221</v>
      </c>
      <c r="AM20" s="170">
        <f t="shared" si="15"/>
        <v>114.94742132376221</v>
      </c>
      <c r="AN20" s="57">
        <f>IF(B20="",0,Eingabe_u_Ergebnisübersicht!$M$20)</f>
        <v>50</v>
      </c>
      <c r="AO20" s="58">
        <f t="shared" si="16"/>
        <v>1.1494742132376221</v>
      </c>
      <c r="AP20" s="170">
        <f t="shared" si="17"/>
        <v>57.47371066188111</v>
      </c>
      <c r="AQ20" s="36">
        <f>IF(I20=(MAX($I$7:$I$27)),Eingabe_u_Ergebnisübersicht!$F$17,0)</f>
        <v>0</v>
      </c>
      <c r="AR20" s="35">
        <f t="shared" si="18"/>
        <v>1</v>
      </c>
      <c r="AS20" s="172">
        <f t="shared" si="19"/>
        <v>0</v>
      </c>
      <c r="AU20" s="93">
        <f>IF(K20=0,0,PV(Eingabe_u_Ergebnisübersicht!$F$19/100,I20,,Y20*-1))</f>
        <v>0</v>
      </c>
      <c r="AV20" s="93">
        <f>IF(B20="","",SUM($P$6:P20)+$P$28)</f>
        <v>-792.4163538897886</v>
      </c>
      <c r="AW20" s="93">
        <f t="shared" si="8"/>
        <v>0</v>
      </c>
      <c r="AX20" s="93">
        <f t="shared" si="20"/>
      </c>
    </row>
    <row r="21" spans="1:50" ht="12.75">
      <c r="A21">
        <v>15</v>
      </c>
      <c r="B21" s="24">
        <f>IF(I21="","",MOD(I21,Eingabe_u_Ergebnisübersicht!$F$6))</f>
        <v>0</v>
      </c>
      <c r="D21" s="141">
        <f t="shared" si="21"/>
        <v>2025</v>
      </c>
      <c r="E21" s="62" t="str">
        <f t="shared" si="2"/>
        <v>ERNTE</v>
      </c>
      <c r="G21" s="62" t="str">
        <f t="shared" si="3"/>
        <v>ERNTE5</v>
      </c>
      <c r="H21" s="106">
        <f>COUNTIF($E$7:E21,"ERNTE")</f>
        <v>5</v>
      </c>
      <c r="I21" s="2">
        <f>IF(Eingabe_u_Ergebnisübersicht!$F$8&lt;=I20,"",I20+1)</f>
        <v>15</v>
      </c>
      <c r="J21" s="2">
        <f t="shared" si="22"/>
        <v>2025</v>
      </c>
      <c r="K21" s="32">
        <f t="shared" si="9"/>
        <v>3636.468107895195</v>
      </c>
      <c r="L21" s="32">
        <f t="shared" si="4"/>
        <v>2124.573188327097</v>
      </c>
      <c r="M21" s="214">
        <f t="shared" si="0"/>
        <v>1511.894919568098</v>
      </c>
      <c r="N21" s="31">
        <f>IF(K21=0,0,PV(Eingabe_u_Ergebnisübersicht!$F$19/100,I21,,K21*-1))</f>
        <v>1749.2033365601078</v>
      </c>
      <c r="O21" s="31">
        <f>IF(L21=0,0,PV(Eingabe_u_Ergebnisübersicht!$F$19/100,I21,,L21*-1))</f>
        <v>1021.9560297309804</v>
      </c>
      <c r="P21" s="31">
        <f t="shared" si="1"/>
        <v>727.2473068291274</v>
      </c>
      <c r="Q21" s="18"/>
      <c r="R21" s="104">
        <v>1.2</v>
      </c>
      <c r="S21" s="298">
        <f>R21*Eingabe_u_Ergebnisübersicht!$M$6</f>
        <v>12</v>
      </c>
      <c r="T21" s="299">
        <f>IF(B21="",0,SUM($S$7:S21))</f>
        <v>155</v>
      </c>
      <c r="U21" s="299">
        <f>IF(B21=0,SUM($S$7:S21),0)</f>
        <v>155</v>
      </c>
      <c r="V21" s="300">
        <f>IF(U21-(MAX($U$7:U20))&lt;0,0,U21-(MAX($U$7:U20)))</f>
        <v>37</v>
      </c>
      <c r="W21" s="37">
        <f>V21*Eingabe_u_Ergebnisübersicht!$M$8</f>
        <v>2960</v>
      </c>
      <c r="X21" s="35">
        <f t="shared" si="5"/>
        <v>1.1609689553699982</v>
      </c>
      <c r="Y21" s="79">
        <f t="shared" si="6"/>
        <v>3436.468107895195</v>
      </c>
      <c r="Z21" s="173">
        <f t="shared" si="10"/>
        <v>200</v>
      </c>
      <c r="AA21" s="54">
        <f>IF(OR($B21="",$B21&gt;0),0,IF($I21&lt;=(MAX($I$7:$I$27)),Eingabe_u_Ergebnisübersicht!$M$13*$V21))</f>
        <v>740</v>
      </c>
      <c r="AB21" s="55">
        <f>IF(OR($B21="",$B21&gt;0),0,IF($I21&lt;=(MAX($I$7:$I$27)),Eingabe_u_Ergebnisübersicht!$M$14*$V21))</f>
        <v>185</v>
      </c>
      <c r="AC21" s="55">
        <f>IF(OR($B21="",$B21&gt;0),0,IF($I21&lt;=(MAX($I$7:$I$27)),Eingabe_u_Ergebnisübersicht!$M$15*$V21))</f>
        <v>370</v>
      </c>
      <c r="AD21" s="54">
        <f>IF(OR($B21="",$B21&gt;0),0,IF($I21&lt;(MAX($I$7:$I$27)),Eingabe_u_Ergebnisübersicht!$M$16+Eingabe_u_Ergebnisübersicht!$M$17,Eingabe_u_Ergebnisübersicht!$M$16))</f>
        <v>185</v>
      </c>
      <c r="AE21" s="51">
        <f t="shared" si="23"/>
        <v>1480</v>
      </c>
      <c r="AF21" s="50">
        <f t="shared" si="11"/>
        <v>1.1609689553699982</v>
      </c>
      <c r="AG21" s="53">
        <f t="shared" si="12"/>
        <v>1718.2340539475974</v>
      </c>
      <c r="AH21" s="36">
        <f>IF(B21="",0,Eingabe_u_Ergebnisübersicht!$M$18)</f>
        <v>200</v>
      </c>
      <c r="AI21" s="166">
        <f t="shared" si="7"/>
        <v>1.1609689553699982</v>
      </c>
      <c r="AJ21" s="93">
        <f t="shared" si="13"/>
        <v>232.19379107399965</v>
      </c>
      <c r="AK21" s="57">
        <f>IF(B21="",0,Eingabe_u_Ergebnisübersicht!$M$19)</f>
        <v>100</v>
      </c>
      <c r="AL21" s="58">
        <f t="shared" si="14"/>
        <v>1.1609689553699982</v>
      </c>
      <c r="AM21" s="170">
        <f t="shared" si="15"/>
        <v>116.09689553699982</v>
      </c>
      <c r="AN21" s="57">
        <f>IF(B21="",0,Eingabe_u_Ergebnisübersicht!$M$20)</f>
        <v>50</v>
      </c>
      <c r="AO21" s="58">
        <f t="shared" si="16"/>
        <v>1.1609689553699982</v>
      </c>
      <c r="AP21" s="170">
        <f t="shared" si="17"/>
        <v>58.04844776849991</v>
      </c>
      <c r="AQ21" s="36">
        <f>IF(I21=(MAX($I$7:$I$27)),Eingabe_u_Ergebnisübersicht!$F$17,0)</f>
        <v>0</v>
      </c>
      <c r="AR21" s="35">
        <f t="shared" si="18"/>
        <v>1</v>
      </c>
      <c r="AS21" s="172">
        <f t="shared" si="19"/>
        <v>0</v>
      </c>
      <c r="AU21" s="93">
        <f>IF(K21=0,0,PV(Eingabe_u_Ergebnisübersicht!$F$19/100,I21,,Y21*-1))</f>
        <v>1652.9999169419136</v>
      </c>
      <c r="AV21" s="93">
        <f>IF(B21="","",SUM($P$6:P21)+$P$28)</f>
        <v>-65.16904706066123</v>
      </c>
      <c r="AW21" s="93">
        <f t="shared" si="8"/>
        <v>0</v>
      </c>
      <c r="AX21" s="93">
        <f t="shared" si="20"/>
      </c>
    </row>
    <row r="22" spans="1:50" ht="12.75">
      <c r="A22">
        <v>16</v>
      </c>
      <c r="B22" s="24">
        <f>IF(I22="","",MOD(I22,Eingabe_u_Ergebnisübersicht!$F$6))</f>
        <v>1</v>
      </c>
      <c r="D22" s="141">
        <f t="shared" si="21"/>
        <v>2026</v>
      </c>
      <c r="E22" s="62">
        <f t="shared" si="2"/>
      </c>
      <c r="G22" s="62">
        <f t="shared" si="3"/>
      </c>
      <c r="H22" s="106">
        <f>COUNTIF($E$7:E22,"ERNTE")</f>
        <v>5</v>
      </c>
      <c r="I22" s="2">
        <f>IF(Eingabe_u_Ergebnisübersicht!$F$8&lt;=I21,"",I21+1)</f>
        <v>16</v>
      </c>
      <c r="J22" s="2">
        <f t="shared" si="22"/>
        <v>2026</v>
      </c>
      <c r="K22" s="32">
        <f t="shared" si="9"/>
        <v>200</v>
      </c>
      <c r="L22" s="32">
        <f t="shared" si="4"/>
        <v>410.40252572329433</v>
      </c>
      <c r="M22" s="214">
        <f t="shared" si="0"/>
        <v>-210.40252572329433</v>
      </c>
      <c r="N22" s="31">
        <f>IF(K22=0,0,PV(Eingabe_u_Ergebnisübersicht!$F$19/100,I22,,K22*-1))</f>
        <v>91.62230439828005</v>
      </c>
      <c r="O22" s="31">
        <f>IF(L22=0,0,PV(Eingabe_u_Ergebnisübersicht!$F$19/100,I22,,L22*-1))</f>
        <v>188.01012568821315</v>
      </c>
      <c r="P22" s="31">
        <f t="shared" si="1"/>
        <v>-96.3878212899331</v>
      </c>
      <c r="Q22" s="18"/>
      <c r="R22" s="104">
        <v>1.1</v>
      </c>
      <c r="S22" s="298">
        <f>R22*Eingabe_u_Ergebnisübersicht!$M$6</f>
        <v>11</v>
      </c>
      <c r="T22" s="299">
        <f>IF(B22="",0,SUM($S$7:S22))</f>
        <v>166</v>
      </c>
      <c r="U22" s="299">
        <f>IF(B22=0,SUM($S$7:S22),0)</f>
        <v>0</v>
      </c>
      <c r="V22" s="300">
        <f>IF(U22-(MAX($U$7:U21))&lt;0,0,U22-(MAX($U$7:U21)))</f>
        <v>0</v>
      </c>
      <c r="W22" s="37">
        <f>V22*Eingabe_u_Ergebnisübersicht!$M$8</f>
        <v>0</v>
      </c>
      <c r="X22" s="35">
        <f t="shared" si="5"/>
        <v>1.1725786449236981</v>
      </c>
      <c r="Y22" s="79">
        <f t="shared" si="6"/>
        <v>0</v>
      </c>
      <c r="Z22" s="173">
        <f t="shared" si="10"/>
        <v>200</v>
      </c>
      <c r="AA22" s="54">
        <f>IF(OR($B22="",$B22&gt;0),0,IF($I22&lt;=(MAX($I$7:$I$27)),Eingabe_u_Ergebnisübersicht!$M$13*$V22))</f>
        <v>0</v>
      </c>
      <c r="AB22" s="55">
        <f>IF(OR($B22="",$B22&gt;0),0,IF($I22&lt;=(MAX($I$7:$I$27)),Eingabe_u_Ergebnisübersicht!$M$14*$V22))</f>
        <v>0</v>
      </c>
      <c r="AC22" s="55">
        <f>IF(OR($B22="",$B22&gt;0),0,IF($I22&lt;=(MAX($I$7:$I$27)),Eingabe_u_Ergebnisübersicht!$M$15*$V22))</f>
        <v>0</v>
      </c>
      <c r="AD22" s="54">
        <f>IF(OR($B22="",$B22&gt;0),0,IF($I22&lt;(MAX($I$7:$I$27)),Eingabe_u_Ergebnisübersicht!$M$16+Eingabe_u_Ergebnisübersicht!$M$17,Eingabe_u_Ergebnisübersicht!$M$16))</f>
        <v>0</v>
      </c>
      <c r="AE22" s="51">
        <f t="shared" si="23"/>
        <v>0</v>
      </c>
      <c r="AF22" s="50">
        <f t="shared" si="11"/>
        <v>1.1725786449236981</v>
      </c>
      <c r="AG22" s="53">
        <f t="shared" si="12"/>
        <v>0</v>
      </c>
      <c r="AH22" s="36">
        <f>IF(B22="",0,Eingabe_u_Ergebnisübersicht!$M$18)</f>
        <v>200</v>
      </c>
      <c r="AI22" s="166">
        <f t="shared" si="7"/>
        <v>1.1725786449236981</v>
      </c>
      <c r="AJ22" s="93">
        <f t="shared" si="13"/>
        <v>234.5157289847396</v>
      </c>
      <c r="AK22" s="57">
        <f>IF(B22="",0,Eingabe_u_Ergebnisübersicht!$M$19)</f>
        <v>100</v>
      </c>
      <c r="AL22" s="58">
        <f t="shared" si="14"/>
        <v>1.1725786449236981</v>
      </c>
      <c r="AM22" s="170">
        <f t="shared" si="15"/>
        <v>117.2578644923698</v>
      </c>
      <c r="AN22" s="57">
        <f>IF(B22="",0,Eingabe_u_Ergebnisübersicht!$M$20)</f>
        <v>50</v>
      </c>
      <c r="AO22" s="58">
        <f t="shared" si="16"/>
        <v>1.1725786449236981</v>
      </c>
      <c r="AP22" s="170">
        <f t="shared" si="17"/>
        <v>58.6289322461849</v>
      </c>
      <c r="AQ22" s="36">
        <f>IF(I22=(MAX($I$7:$I$27)),Eingabe_u_Ergebnisübersicht!$F$17,0)</f>
        <v>0</v>
      </c>
      <c r="AR22" s="35">
        <f t="shared" si="18"/>
        <v>1</v>
      </c>
      <c r="AS22" s="172">
        <f t="shared" si="19"/>
        <v>0</v>
      </c>
      <c r="AU22" s="93">
        <f>IF(K22=0,0,PV(Eingabe_u_Ergebnisübersicht!$F$19/100,I22,,Y22*-1))</f>
        <v>0</v>
      </c>
      <c r="AV22" s="93">
        <f>IF(B22="","",SUM($P$6:P22)+$P$28)</f>
        <v>-161.55686835059433</v>
      </c>
      <c r="AW22" s="93">
        <f t="shared" si="8"/>
        <v>0</v>
      </c>
      <c r="AX22" s="93">
        <f t="shared" si="20"/>
      </c>
    </row>
    <row r="23" spans="1:50" ht="12.75">
      <c r="A23">
        <v>17</v>
      </c>
      <c r="B23" s="24">
        <f>IF(I23="","",MOD(I23,Eingabe_u_Ergebnisübersicht!$F$6))</f>
        <v>2</v>
      </c>
      <c r="D23" s="141">
        <f t="shared" si="21"/>
        <v>2027</v>
      </c>
      <c r="E23" s="62">
        <f t="shared" si="2"/>
      </c>
      <c r="G23" s="62">
        <f t="shared" si="3"/>
      </c>
      <c r="H23" s="106">
        <f>COUNTIF($E$7:E23,"ERNTE")</f>
        <v>5</v>
      </c>
      <c r="I23" s="2">
        <f>IF(Eingabe_u_Ergebnisübersicht!$F$8&lt;=I22,"",I22+1)</f>
        <v>17</v>
      </c>
      <c r="J23" s="2">
        <f t="shared" si="22"/>
        <v>2027</v>
      </c>
      <c r="K23" s="32">
        <f t="shared" si="9"/>
        <v>200</v>
      </c>
      <c r="L23" s="32">
        <f t="shared" si="4"/>
        <v>414.5065509805273</v>
      </c>
      <c r="M23" s="214">
        <f t="shared" si="0"/>
        <v>-214.50655098052732</v>
      </c>
      <c r="N23" s="31">
        <f>IF(K23=0,0,PV(Eingabe_u_Ergebnisübersicht!$F$19/100,I23,,K23*-1))</f>
        <v>87.25933752217146</v>
      </c>
      <c r="O23" s="31">
        <f>IF(L23=0,0,PV(Eingabe_u_Ergebnisübersicht!$F$19/100,I23,,L23*-1))</f>
        <v>180.84783518580502</v>
      </c>
      <c r="P23" s="31">
        <f t="shared" si="1"/>
        <v>-93.58849766363356</v>
      </c>
      <c r="Q23" s="18"/>
      <c r="R23" s="104">
        <v>1</v>
      </c>
      <c r="S23" s="298">
        <f>R23*Eingabe_u_Ergebnisübersicht!$M$6</f>
        <v>10</v>
      </c>
      <c r="T23" s="299">
        <f>IF(B23="",0,SUM($S$7:S23))</f>
        <v>176</v>
      </c>
      <c r="U23" s="299">
        <f>IF(B23=0,SUM($S$7:S23),0)</f>
        <v>0</v>
      </c>
      <c r="V23" s="300">
        <f>IF(U23-(MAX($U$7:U22))&lt;0,0,U23-(MAX($U$7:U22)))</f>
        <v>0</v>
      </c>
      <c r="W23" s="37">
        <f>V23*Eingabe_u_Ergebnisübersicht!$M$8</f>
        <v>0</v>
      </c>
      <c r="X23" s="35">
        <f t="shared" si="5"/>
        <v>1.1843044313729352</v>
      </c>
      <c r="Y23" s="79">
        <f t="shared" si="6"/>
        <v>0</v>
      </c>
      <c r="Z23" s="173">
        <f t="shared" si="10"/>
        <v>200</v>
      </c>
      <c r="AA23" s="54">
        <f>IF(OR($B23="",$B23&gt;0),0,IF($I23&lt;=(MAX($I$7:$I$27)),Eingabe_u_Ergebnisübersicht!$M$13*$V23))</f>
        <v>0</v>
      </c>
      <c r="AB23" s="55">
        <f>IF(OR($B23="",$B23&gt;0),0,IF($I23&lt;=(MAX($I$7:$I$27)),Eingabe_u_Ergebnisübersicht!$M$14*$V23))</f>
        <v>0</v>
      </c>
      <c r="AC23" s="55">
        <f>IF(OR($B23="",$B23&gt;0),0,IF($I23&lt;=(MAX($I$7:$I$27)),Eingabe_u_Ergebnisübersicht!$M$15*$V23))</f>
        <v>0</v>
      </c>
      <c r="AD23" s="54">
        <f>IF(OR($B23="",$B23&gt;0),0,IF($I23&lt;(MAX($I$7:$I$27)),Eingabe_u_Ergebnisübersicht!$M$16+Eingabe_u_Ergebnisübersicht!$M$17,Eingabe_u_Ergebnisübersicht!$M$16))</f>
        <v>0</v>
      </c>
      <c r="AE23" s="51">
        <f t="shared" si="23"/>
        <v>0</v>
      </c>
      <c r="AF23" s="50">
        <f t="shared" si="11"/>
        <v>1.1843044313729352</v>
      </c>
      <c r="AG23" s="53">
        <f t="shared" si="12"/>
        <v>0</v>
      </c>
      <c r="AH23" s="36">
        <f>IF(B23="",0,Eingabe_u_Ergebnisübersicht!$M$18)</f>
        <v>200</v>
      </c>
      <c r="AI23" s="166">
        <f t="shared" si="7"/>
        <v>1.1843044313729352</v>
      </c>
      <c r="AJ23" s="93">
        <f t="shared" si="13"/>
        <v>236.86088627458705</v>
      </c>
      <c r="AK23" s="57">
        <f>IF(B23="",0,Eingabe_u_Ergebnisübersicht!$M$19)</f>
        <v>100</v>
      </c>
      <c r="AL23" s="58">
        <f t="shared" si="14"/>
        <v>1.1843044313729352</v>
      </c>
      <c r="AM23" s="170">
        <f t="shared" si="15"/>
        <v>118.43044313729352</v>
      </c>
      <c r="AN23" s="57">
        <f>IF(B23="",0,Eingabe_u_Ergebnisübersicht!$M$20)</f>
        <v>50</v>
      </c>
      <c r="AO23" s="58">
        <f t="shared" si="16"/>
        <v>1.1843044313729352</v>
      </c>
      <c r="AP23" s="170">
        <f t="shared" si="17"/>
        <v>59.21522156864676</v>
      </c>
      <c r="AQ23" s="36">
        <f>IF(I23=(MAX($I$7:$I$27)),Eingabe_u_Ergebnisübersicht!$F$17,0)</f>
        <v>0</v>
      </c>
      <c r="AR23" s="35">
        <f t="shared" si="18"/>
        <v>1</v>
      </c>
      <c r="AS23" s="172">
        <f t="shared" si="19"/>
        <v>0</v>
      </c>
      <c r="AU23" s="93">
        <f>IF(K23=0,0,PV(Eingabe_u_Ergebnisübersicht!$F$19/100,I23,,Y23*-1))</f>
        <v>0</v>
      </c>
      <c r="AV23" s="93">
        <f>IF(B23="","",SUM($P$6:P23)+$P$28)</f>
        <v>-255.14536601422787</v>
      </c>
      <c r="AW23" s="93">
        <f t="shared" si="8"/>
        <v>0</v>
      </c>
      <c r="AX23" s="93">
        <f t="shared" si="20"/>
      </c>
    </row>
    <row r="24" spans="1:50" ht="12.75">
      <c r="A24">
        <v>18</v>
      </c>
      <c r="B24" s="24">
        <f>IF(I24="","",MOD(I24,Eingabe_u_Ergebnisübersicht!$F$6))</f>
        <v>0</v>
      </c>
      <c r="D24" s="141">
        <f t="shared" si="21"/>
        <v>2028</v>
      </c>
      <c r="E24" s="62" t="str">
        <f t="shared" si="2"/>
        <v>ERNTE</v>
      </c>
      <c r="G24" s="62" t="str">
        <f t="shared" si="3"/>
        <v>ERNTE6</v>
      </c>
      <c r="H24" s="106">
        <f>COUNTIF($E$7:E24,"ERNTE")</f>
        <v>6</v>
      </c>
      <c r="I24" s="2">
        <f>IF(Eingabe_u_Ergebnisübersicht!$F$8&lt;=I23,"",I23+1)</f>
        <v>18</v>
      </c>
      <c r="J24" s="2">
        <f t="shared" si="22"/>
        <v>2028</v>
      </c>
      <c r="K24" s="32">
        <f t="shared" si="9"/>
        <v>3066.445739702928</v>
      </c>
      <c r="L24" s="32">
        <f t="shared" si="4"/>
        <v>1937.7589106123967</v>
      </c>
      <c r="M24" s="214">
        <f t="shared" si="0"/>
        <v>1128.6868290905315</v>
      </c>
      <c r="N24" s="31">
        <f>IF(K24=0,0,PV(Eingabe_u_Ergebnisübersicht!$F$19/100,I24,,K24*-1))</f>
        <v>1274.1715418769645</v>
      </c>
      <c r="O24" s="31">
        <f>IF(L24=0,0,PV(Eingabe_u_Ergebnisübersicht!$F$19/100,I24,,L24*-1))</f>
        <v>805.1788515129638</v>
      </c>
      <c r="P24" s="31">
        <f t="shared" si="1"/>
        <v>468.99269036400074</v>
      </c>
      <c r="Q24" s="18"/>
      <c r="R24" s="104">
        <v>1</v>
      </c>
      <c r="S24" s="298">
        <f>R24*Eingabe_u_Ergebnisübersicht!$M$6</f>
        <v>10</v>
      </c>
      <c r="T24" s="299">
        <f>IF(B24="",0,SUM($S$7:S24))</f>
        <v>186</v>
      </c>
      <c r="U24" s="299">
        <f>IF(B24=0,SUM($S$7:S24),0)</f>
        <v>186</v>
      </c>
      <c r="V24" s="300">
        <f>IF(U24-(MAX($U$7:U23))&lt;0,0,U24-(MAX($U$7:U23)))</f>
        <v>31</v>
      </c>
      <c r="W24" s="37">
        <f>V24*Eingabe_u_Ergebnisübersicht!$M$8</f>
        <v>2480</v>
      </c>
      <c r="X24" s="35">
        <f t="shared" si="5"/>
        <v>1.1961474756866646</v>
      </c>
      <c r="Y24" s="79">
        <f t="shared" si="6"/>
        <v>2966.445739702928</v>
      </c>
      <c r="Z24" s="173">
        <f t="shared" si="10"/>
        <v>100</v>
      </c>
      <c r="AA24" s="54">
        <f>IF(OR($B24="",$B24&gt;0),0,IF($I24&lt;=(MAX($I$7:$I$27)),Eingabe_u_Ergebnisübersicht!$M$13*$V24))</f>
        <v>620</v>
      </c>
      <c r="AB24" s="55">
        <f>IF(OR($B24="",$B24&gt;0),0,IF($I24&lt;=(MAX($I$7:$I$27)),Eingabe_u_Ergebnisübersicht!$M$14*$V24))</f>
        <v>155</v>
      </c>
      <c r="AC24" s="55">
        <f>IF(OR($B24="",$B24&gt;0),0,IF($I24&lt;=(MAX($I$7:$I$27)),Eingabe_u_Ergebnisübersicht!$M$15*$V24))</f>
        <v>310</v>
      </c>
      <c r="AD24" s="54">
        <f>IF(OR($B24="",$B24&gt;0),0,IF($I24&lt;(MAX($I$7:$I$27)),Eingabe_u_Ergebnisübersicht!$M$16+Eingabe_u_Ergebnisübersicht!$M$17,Eingabe_u_Ergebnisübersicht!$M$16))</f>
        <v>185</v>
      </c>
      <c r="AE24" s="51">
        <f t="shared" si="23"/>
        <v>1270</v>
      </c>
      <c r="AF24" s="50">
        <f t="shared" si="11"/>
        <v>1.1961474756866646</v>
      </c>
      <c r="AG24" s="53">
        <f t="shared" si="12"/>
        <v>1519.107294122064</v>
      </c>
      <c r="AH24" s="36">
        <f>IF(B24="",0,Eingabe_u_Ergebnisübersicht!$M$18)</f>
        <v>200</v>
      </c>
      <c r="AI24" s="166">
        <f t="shared" si="7"/>
        <v>1.1961474756866646</v>
      </c>
      <c r="AJ24" s="93">
        <f t="shared" si="13"/>
        <v>239.22949513733292</v>
      </c>
      <c r="AK24" s="57">
        <f>IF(B24="",0,Eingabe_u_Ergebnisübersicht!$M$19)</f>
        <v>100</v>
      </c>
      <c r="AL24" s="58">
        <f t="shared" si="14"/>
        <v>1.1961474756866646</v>
      </c>
      <c r="AM24" s="170">
        <f t="shared" si="15"/>
        <v>119.61474756866646</v>
      </c>
      <c r="AN24" s="57">
        <f>IF(B24="",0,Eingabe_u_Ergebnisübersicht!$M$20)</f>
        <v>50</v>
      </c>
      <c r="AO24" s="58">
        <f t="shared" si="16"/>
        <v>1.1961474756866646</v>
      </c>
      <c r="AP24" s="170">
        <f t="shared" si="17"/>
        <v>59.80737378433323</v>
      </c>
      <c r="AQ24" s="36">
        <f>IF(I24=(MAX($I$7:$I$27)),Eingabe_u_Ergebnisübersicht!$F$17,0)</f>
        <v>0</v>
      </c>
      <c r="AR24" s="35">
        <f t="shared" si="18"/>
        <v>1</v>
      </c>
      <c r="AS24" s="172">
        <f t="shared" si="19"/>
        <v>0</v>
      </c>
      <c r="AU24" s="93">
        <f>IF(K24=0,0,PV(Eingabe_u_Ergebnisübersicht!$F$19/100,I24,,Y24*-1))</f>
        <v>1232.6194763902163</v>
      </c>
      <c r="AV24" s="93">
        <f>IF(B24="","",SUM($P$6:P24)+$P$28)</f>
        <v>213.84732434977286</v>
      </c>
      <c r="AW24" s="93">
        <f t="shared" si="8"/>
        <v>17</v>
      </c>
      <c r="AX24" s="93">
        <f t="shared" si="20"/>
        <v>18</v>
      </c>
    </row>
    <row r="25" spans="1:50" ht="12.75">
      <c r="A25">
        <v>19</v>
      </c>
      <c r="B25" s="24">
        <f>IF(I25="","",MOD(I25,Eingabe_u_Ergebnisübersicht!$F$6))</f>
        <v>1</v>
      </c>
      <c r="D25" s="141">
        <f t="shared" si="21"/>
        <v>2029</v>
      </c>
      <c r="E25" s="62">
        <f t="shared" si="2"/>
      </c>
      <c r="G25" s="62">
        <f t="shared" si="3"/>
      </c>
      <c r="H25" s="106">
        <f>COUNTIF($E$7:E25,"ERNTE")</f>
        <v>6</v>
      </c>
      <c r="I25" s="2">
        <f>IF(Eingabe_u_Ergebnisübersicht!$F$8&lt;=I24,"",I24+1)</f>
        <v>19</v>
      </c>
      <c r="J25" s="2">
        <f t="shared" si="22"/>
        <v>2029</v>
      </c>
      <c r="K25" s="32">
        <f t="shared" si="9"/>
        <v>100</v>
      </c>
      <c r="L25" s="32">
        <f t="shared" si="4"/>
        <v>422.8381326552359</v>
      </c>
      <c r="M25" s="214">
        <f t="shared" si="0"/>
        <v>-322.8381326552359</v>
      </c>
      <c r="N25" s="31">
        <f>IF(K25=0,0,PV(Eingabe_u_Ergebnisübersicht!$F$19/100,I25,,K25*-1))</f>
        <v>39.57339570166506</v>
      </c>
      <c r="O25" s="31">
        <f>IF(L25=0,0,PV(Eingabe_u_Ergebnisübersicht!$F$19/100,I25,,L25*-1))</f>
        <v>167.33140741318792</v>
      </c>
      <c r="P25" s="31">
        <f t="shared" si="1"/>
        <v>-127.75801171152285</v>
      </c>
      <c r="Q25" s="18"/>
      <c r="R25" s="104">
        <v>0.9</v>
      </c>
      <c r="S25" s="298">
        <f>R25*Eingabe_u_Ergebnisübersicht!$M$6</f>
        <v>9</v>
      </c>
      <c r="T25" s="299">
        <f>IF(B25="",0,SUM($S$7:S25))</f>
        <v>195</v>
      </c>
      <c r="U25" s="299">
        <f>IF(B25=0,SUM($S$7:S25),0)</f>
        <v>0</v>
      </c>
      <c r="V25" s="300">
        <f>IF(U25-(MAX($U$7:U24))&lt;0,0,U25-(MAX($U$7:U24)))</f>
        <v>0</v>
      </c>
      <c r="W25" s="37">
        <f>V25*Eingabe_u_Ergebnisübersicht!$M$8</f>
        <v>0</v>
      </c>
      <c r="X25" s="35">
        <f t="shared" si="5"/>
        <v>1.2081089504435312</v>
      </c>
      <c r="Y25" s="79">
        <f t="shared" si="6"/>
        <v>0</v>
      </c>
      <c r="Z25" s="173">
        <f t="shared" si="10"/>
        <v>100</v>
      </c>
      <c r="AA25" s="54">
        <f>IF(OR($B25="",$B25&gt;0),0,IF($I25&lt;=(MAX($I$7:$I$27)),Eingabe_u_Ergebnisübersicht!$M$13*$V25))</f>
        <v>0</v>
      </c>
      <c r="AB25" s="55">
        <f>IF(OR($B25="",$B25&gt;0),0,IF($I25&lt;=(MAX($I$7:$I$27)),Eingabe_u_Ergebnisübersicht!$M$14*$V25))</f>
        <v>0</v>
      </c>
      <c r="AC25" s="55">
        <f>IF(OR($B25="",$B25&gt;0),0,IF($I25&lt;=(MAX($I$7:$I$27)),Eingabe_u_Ergebnisübersicht!$M$15*$V25))</f>
        <v>0</v>
      </c>
      <c r="AD25" s="54">
        <f>IF(OR($B25="",$B25&gt;0),0,IF($I25&lt;(MAX($I$7:$I$27)),Eingabe_u_Ergebnisübersicht!$M$16+Eingabe_u_Ergebnisübersicht!$M$17,Eingabe_u_Ergebnisübersicht!$M$16))</f>
        <v>0</v>
      </c>
      <c r="AE25" s="51">
        <f t="shared" si="23"/>
        <v>0</v>
      </c>
      <c r="AF25" s="50">
        <f t="shared" si="11"/>
        <v>1.2081089504435312</v>
      </c>
      <c r="AG25" s="53">
        <f t="shared" si="12"/>
        <v>0</v>
      </c>
      <c r="AH25" s="36">
        <f>IF(B25="",0,Eingabe_u_Ergebnisübersicht!$M$18)</f>
        <v>200</v>
      </c>
      <c r="AI25" s="166">
        <f t="shared" si="7"/>
        <v>1.2081089504435312</v>
      </c>
      <c r="AJ25" s="93">
        <f t="shared" si="13"/>
        <v>241.62179008870623</v>
      </c>
      <c r="AK25" s="57">
        <f>IF(B25="",0,Eingabe_u_Ergebnisübersicht!$M$19)</f>
        <v>100</v>
      </c>
      <c r="AL25" s="58">
        <f t="shared" si="14"/>
        <v>1.2081089504435312</v>
      </c>
      <c r="AM25" s="170">
        <f t="shared" si="15"/>
        <v>120.81089504435312</v>
      </c>
      <c r="AN25" s="57">
        <f>IF(B25="",0,Eingabe_u_Ergebnisübersicht!$M$20)</f>
        <v>50</v>
      </c>
      <c r="AO25" s="58">
        <f t="shared" si="16"/>
        <v>1.2081089504435312</v>
      </c>
      <c r="AP25" s="170">
        <f t="shared" si="17"/>
        <v>60.40544752217656</v>
      </c>
      <c r="AQ25" s="36">
        <f>IF(I25=(MAX($I$7:$I$27)),Eingabe_u_Ergebnisübersicht!$F$17,0)</f>
        <v>0</v>
      </c>
      <c r="AR25" s="35">
        <f t="shared" si="18"/>
        <v>1</v>
      </c>
      <c r="AS25" s="172">
        <f t="shared" si="19"/>
        <v>0</v>
      </c>
      <c r="AU25" s="93">
        <f>IF(K25=0,0,PV(Eingabe_u_Ergebnisübersicht!$F$19/100,I25,,Y25*-1))</f>
        <v>0</v>
      </c>
      <c r="AV25" s="93">
        <f>IF(B25="","",SUM($P$6:P25)+$P$28)</f>
        <v>86.08931263825002</v>
      </c>
      <c r="AW25" s="93">
        <f t="shared" si="8"/>
        <v>18</v>
      </c>
      <c r="AX25" s="93">
        <f t="shared" si="20"/>
        <v>19</v>
      </c>
    </row>
    <row r="26" spans="1:50" ht="12.75">
      <c r="A26">
        <v>20</v>
      </c>
      <c r="B26" s="24">
        <f>IF(I26="","",MOD(I26,Eingabe_u_Ergebnisübersicht!$F$6))</f>
        <v>2</v>
      </c>
      <c r="D26" s="141">
        <f t="shared" si="21"/>
        <v>2030</v>
      </c>
      <c r="E26" s="62">
        <f t="shared" si="2"/>
      </c>
      <c r="G26" s="62">
        <f t="shared" si="3"/>
      </c>
      <c r="H26" s="106">
        <f>COUNTIF($E$7:E26,"ERNTE")</f>
        <v>6</v>
      </c>
      <c r="I26" s="2">
        <f>IF(Eingabe_u_Ergebnisübersicht!$F$8&lt;=I25,"",I25+1)</f>
        <v>20</v>
      </c>
      <c r="J26" s="2">
        <f t="shared" si="22"/>
        <v>2030</v>
      </c>
      <c r="K26" s="32">
        <f t="shared" si="9"/>
        <v>100</v>
      </c>
      <c r="L26" s="32">
        <f t="shared" si="4"/>
        <v>427.0665139817882</v>
      </c>
      <c r="M26" s="214">
        <f t="shared" si="0"/>
        <v>-327.0665139817882</v>
      </c>
      <c r="N26" s="31">
        <f>IF(K26=0,0,PV(Eingabe_u_Ergebnisübersicht!$F$19/100,I26,,K26*-1))</f>
        <v>37.68894828730006</v>
      </c>
      <c r="O26" s="31">
        <f>IF(L26=0,0,PV(Eingabe_u_Ergebnisübersicht!$F$19/100,I26,,L26*-1))</f>
        <v>160.95687760697123</v>
      </c>
      <c r="P26" s="31">
        <f t="shared" si="1"/>
        <v>-123.26792931967117</v>
      </c>
      <c r="Q26" s="18"/>
      <c r="R26" s="104">
        <v>0.8</v>
      </c>
      <c r="S26" s="298">
        <f>R26*Eingabe_u_Ergebnisübersicht!$M$6</f>
        <v>8</v>
      </c>
      <c r="T26" s="299">
        <f>IF(B26="",0,SUM($S$7:S26))</f>
        <v>203</v>
      </c>
      <c r="U26" s="299">
        <f>IF(B26=0,SUM($S$7:S26),0)</f>
        <v>0</v>
      </c>
      <c r="V26" s="300">
        <f>IF(U26-(MAX($U$7:U25))&lt;0,0,U26-(MAX($U$7:U25)))</f>
        <v>0</v>
      </c>
      <c r="W26" s="37">
        <f>V26*Eingabe_u_Ergebnisübersicht!$M$8</f>
        <v>0</v>
      </c>
      <c r="X26" s="35">
        <f t="shared" si="5"/>
        <v>1.2201900399479664</v>
      </c>
      <c r="Y26" s="79">
        <f t="shared" si="6"/>
        <v>0</v>
      </c>
      <c r="Z26" s="173">
        <f t="shared" si="10"/>
        <v>100</v>
      </c>
      <c r="AA26" s="54">
        <f>IF(OR($B26="",$B26&gt;0),0,IF($I26&lt;=(MAX($I$7:$I$27)),Eingabe_u_Ergebnisübersicht!$M$13*$V26))</f>
        <v>0</v>
      </c>
      <c r="AB26" s="55">
        <f>IF(OR($B26="",$B26&gt;0),0,IF($I26&lt;=(MAX($I$7:$I$27)),Eingabe_u_Ergebnisübersicht!$M$14*$V26))</f>
        <v>0</v>
      </c>
      <c r="AC26" s="55">
        <f>IF(OR($B26="",$B26&gt;0),0,IF($I26&lt;=(MAX($I$7:$I$27)),Eingabe_u_Ergebnisübersicht!$M$15*$V26))</f>
        <v>0</v>
      </c>
      <c r="AD26" s="54">
        <f>IF(OR($B26="",$B26&gt;0),0,IF($I26&lt;(MAX($I$7:$I$27)),Eingabe_u_Ergebnisübersicht!$M$16+Eingabe_u_Ergebnisübersicht!$M$17,Eingabe_u_Ergebnisübersicht!$M$16))</f>
        <v>0</v>
      </c>
      <c r="AE26" s="51">
        <f t="shared" si="23"/>
        <v>0</v>
      </c>
      <c r="AF26" s="50">
        <f t="shared" si="11"/>
        <v>1.2201900399479664</v>
      </c>
      <c r="AG26" s="53">
        <f t="shared" si="12"/>
        <v>0</v>
      </c>
      <c r="AH26" s="36">
        <f>IF(B26="",0,Eingabe_u_Ergebnisübersicht!$M$18)</f>
        <v>200</v>
      </c>
      <c r="AI26" s="166">
        <f t="shared" si="7"/>
        <v>1.2201900399479664</v>
      </c>
      <c r="AJ26" s="93">
        <f t="shared" si="13"/>
        <v>244.03800798959327</v>
      </c>
      <c r="AK26" s="57">
        <f>IF(B26="",0,Eingabe_u_Ergebnisübersicht!$M$19)</f>
        <v>100</v>
      </c>
      <c r="AL26" s="58">
        <f t="shared" si="14"/>
        <v>1.2201900399479664</v>
      </c>
      <c r="AM26" s="170">
        <f t="shared" si="15"/>
        <v>122.01900399479663</v>
      </c>
      <c r="AN26" s="57">
        <f>IF(B26="",0,Eingabe_u_Ergebnisübersicht!$M$20)</f>
        <v>50</v>
      </c>
      <c r="AO26" s="58">
        <f t="shared" si="16"/>
        <v>1.2201900399479664</v>
      </c>
      <c r="AP26" s="170">
        <f t="shared" si="17"/>
        <v>61.00950199739832</v>
      </c>
      <c r="AQ26" s="36">
        <f>IF(I26=(MAX($I$7:$I$27)),Eingabe_u_Ergebnisübersicht!$F$17,0)</f>
        <v>0</v>
      </c>
      <c r="AR26" s="35">
        <f t="shared" si="18"/>
        <v>1</v>
      </c>
      <c r="AS26" s="172">
        <f t="shared" si="19"/>
        <v>0</v>
      </c>
      <c r="AU26" s="93">
        <f>IF(K26=0,0,PV(Eingabe_u_Ergebnisübersicht!$F$19/100,I26,,Y26*-1))</f>
        <v>0</v>
      </c>
      <c r="AV26" s="93">
        <f>IF(B26="","",SUM($P$6:P26)+$P$28)</f>
        <v>-37.17861668142115</v>
      </c>
      <c r="AW26" s="93">
        <f t="shared" si="8"/>
        <v>0</v>
      </c>
      <c r="AX26" s="93">
        <f t="shared" si="20"/>
      </c>
    </row>
    <row r="27" spans="1:50" ht="12.75">
      <c r="A27">
        <v>21</v>
      </c>
      <c r="B27" s="24">
        <f>IF(I27="","",MOD(I27,Eingabe_u_Ergebnisübersicht!$F$6))</f>
        <v>0</v>
      </c>
      <c r="D27" s="141">
        <f t="shared" si="21"/>
        <v>2031</v>
      </c>
      <c r="E27" s="62" t="str">
        <f t="shared" si="2"/>
        <v>ERNTE</v>
      </c>
      <c r="G27" s="109" t="str">
        <f t="shared" si="3"/>
        <v>ERNTE7</v>
      </c>
      <c r="H27" s="110">
        <f>COUNTIF($E$7:E27,"ERNTE")</f>
        <v>7</v>
      </c>
      <c r="I27" s="2">
        <f>IF(Eingabe_u_Ergebnisübersicht!$F$8&lt;=I26,"",I26+1)</f>
        <v>21</v>
      </c>
      <c r="J27" s="2">
        <f t="shared" si="22"/>
        <v>2031</v>
      </c>
      <c r="K27" s="32">
        <f t="shared" si="9"/>
        <v>2466.1925254670964</v>
      </c>
      <c r="L27" s="32">
        <f t="shared" si="4"/>
        <v>1651.405200065578</v>
      </c>
      <c r="M27" s="214">
        <f t="shared" si="0"/>
        <v>814.7873254015185</v>
      </c>
      <c r="N27" s="31">
        <f>IF(K27=0,0,PV(Eingabe_u_Ergebnisübersicht!$F$19/100,I27,,K27*-1))</f>
        <v>885.2209767510031</v>
      </c>
      <c r="O27" s="31">
        <f>IF(L27=0,0,PV(Eingabe_u_Ergebnisübersicht!$F$19/100,I27,,L27*-1))</f>
        <v>592.7592874919045</v>
      </c>
      <c r="P27" s="31">
        <f t="shared" si="1"/>
        <v>292.46168925909865</v>
      </c>
      <c r="Q27" s="18"/>
      <c r="R27" s="104">
        <v>0.7</v>
      </c>
      <c r="S27" s="298">
        <f>IF(E27="ERNTE",R27*Eingabe_u_Ergebnisübersicht!$M$6,0)</f>
        <v>7</v>
      </c>
      <c r="T27" s="299">
        <f>IF(B27="",0,SUM($S$7:S27))</f>
        <v>210</v>
      </c>
      <c r="U27" s="299">
        <f>IF(B27=0,SUM($S$7:S27),0)</f>
        <v>210</v>
      </c>
      <c r="V27" s="300">
        <f>IF(U27-(MAX($U$7:U26))&lt;0,0,U27-(MAX($U$7:U26)))</f>
        <v>24</v>
      </c>
      <c r="W27" s="37">
        <f>V27*Eingabe_u_Ergebnisübersicht!$M$8</f>
        <v>1920</v>
      </c>
      <c r="X27" s="35">
        <f t="shared" si="5"/>
        <v>1.2323919403474461</v>
      </c>
      <c r="Y27" s="79">
        <f t="shared" si="6"/>
        <v>2366.1925254670964</v>
      </c>
      <c r="Z27" s="173">
        <f t="shared" si="10"/>
        <v>100</v>
      </c>
      <c r="AA27" s="54">
        <f>IF(OR($B27="",$B27&gt;0),0,IF($I27&lt;=(MAX($I$7:$I$27)),Eingabe_u_Ergebnisübersicht!$M$13*$V27))</f>
        <v>480</v>
      </c>
      <c r="AB27" s="55">
        <f>IF(OR($B27="",$B27&gt;0),0,IF($I27&lt;=(MAX($I$7:$I$27)),Eingabe_u_Ergebnisübersicht!$M$14*$V27))</f>
        <v>120</v>
      </c>
      <c r="AC27" s="55">
        <f>IF(OR($B27="",$B27&gt;0),0,IF($I27&lt;=(MAX($I$7:$I$27)),Eingabe_u_Ergebnisübersicht!$M$15*$V27))</f>
        <v>240</v>
      </c>
      <c r="AD27" s="54">
        <f>IF(OR($B27="",$B27&gt;0),0,IF($I27&lt;(MAX($I$7:$I$27)),Eingabe_u_Ergebnisübersicht!$M$16+Eingabe_u_Ergebnisübersicht!$M$17,Eingabe_u_Ergebnisübersicht!$M$16))</f>
        <v>150</v>
      </c>
      <c r="AE27" s="51">
        <f t="shared" si="23"/>
        <v>990</v>
      </c>
      <c r="AF27" s="50">
        <f t="shared" si="11"/>
        <v>1.2323919403474461</v>
      </c>
      <c r="AG27" s="53">
        <f t="shared" si="12"/>
        <v>1220.0680209439718</v>
      </c>
      <c r="AH27" s="36">
        <f>IF(B27="",0,Eingabe_u_Ergebnisübersicht!$M$18)</f>
        <v>200</v>
      </c>
      <c r="AI27" s="166">
        <f t="shared" si="7"/>
        <v>1.2323919403474461</v>
      </c>
      <c r="AJ27" s="93">
        <f t="shared" si="13"/>
        <v>246.47838806948923</v>
      </c>
      <c r="AK27" s="57">
        <f>IF(B27="",0,Eingabe_u_Ergebnisübersicht!$M$19)</f>
        <v>100</v>
      </c>
      <c r="AL27" s="58">
        <f t="shared" si="14"/>
        <v>1.2323919403474461</v>
      </c>
      <c r="AM27" s="170">
        <f t="shared" si="15"/>
        <v>123.23919403474461</v>
      </c>
      <c r="AN27" s="57">
        <f>IF(B27="",0,Eingabe_u_Ergebnisübersicht!$M$20)</f>
        <v>50</v>
      </c>
      <c r="AO27" s="58">
        <f t="shared" si="16"/>
        <v>1.2323919403474461</v>
      </c>
      <c r="AP27" s="170">
        <f t="shared" si="17"/>
        <v>61.61959701737231</v>
      </c>
      <c r="AQ27" s="36">
        <f>IF(I27=(MAX($I$7:$I$27)),Eingabe_u_Ergebnisübersicht!$F$17,0)</f>
        <v>1000</v>
      </c>
      <c r="AR27" s="35">
        <f t="shared" si="18"/>
        <v>1</v>
      </c>
      <c r="AS27" s="172">
        <f t="shared" si="19"/>
        <v>1000</v>
      </c>
      <c r="AU27" s="93">
        <f>IF(K27=0,0,PV(Eingabe_u_Ergebnisübersicht!$F$19/100,I27,,Y27*-1))</f>
        <v>849.3267402869079</v>
      </c>
      <c r="AV27" s="93">
        <f>IF(B27="","",SUM($P$6:P27)+$P$28)</f>
        <v>255.28307257767756</v>
      </c>
      <c r="AW27" s="93">
        <f t="shared" si="8"/>
        <v>20</v>
      </c>
      <c r="AX27" s="93">
        <f t="shared" si="20"/>
        <v>21</v>
      </c>
    </row>
    <row r="28" spans="1:50" ht="13.5" thickBot="1">
      <c r="A28">
        <v>22</v>
      </c>
      <c r="B28" s="24"/>
      <c r="D28" s="141"/>
      <c r="E28" s="63"/>
      <c r="G28" s="63" t="s">
        <v>103</v>
      </c>
      <c r="H28" s="236">
        <f>MAX(H7:H27)</f>
        <v>7</v>
      </c>
      <c r="I28" s="64">
        <f>MAX(I7:I27)</f>
        <v>21</v>
      </c>
      <c r="J28" s="64"/>
      <c r="K28" s="65"/>
      <c r="L28" s="212">
        <f>AS29</f>
        <v>1000</v>
      </c>
      <c r="M28" s="215">
        <f t="shared" si="0"/>
        <v>-1000</v>
      </c>
      <c r="N28" s="67"/>
      <c r="O28" s="31">
        <f>IF(L28=0,0,PV(Eingabe_u_Ergebnisübersicht!$F$19/100,I28,,L28*-1))</f>
        <v>358.942364640953</v>
      </c>
      <c r="P28" s="31">
        <f t="shared" si="1"/>
        <v>-358.942364640953</v>
      </c>
      <c r="Q28" s="18"/>
      <c r="R28" s="104"/>
      <c r="S28" s="298"/>
      <c r="T28" s="299"/>
      <c r="U28" s="299"/>
      <c r="V28" s="300"/>
      <c r="W28" s="37"/>
      <c r="X28" s="35"/>
      <c r="Y28" s="79"/>
      <c r="Z28" s="173"/>
      <c r="AA28" s="54"/>
      <c r="AB28" s="55"/>
      <c r="AC28" s="55"/>
      <c r="AD28" s="54"/>
      <c r="AE28" s="51"/>
      <c r="AF28" s="50"/>
      <c r="AG28" s="53"/>
      <c r="AH28" s="36"/>
      <c r="AI28" s="166"/>
      <c r="AJ28" s="93"/>
      <c r="AK28" s="57"/>
      <c r="AL28" s="58"/>
      <c r="AM28" s="170"/>
      <c r="AN28" s="57"/>
      <c r="AO28" s="58"/>
      <c r="AP28" s="170"/>
      <c r="AQ28" s="36"/>
      <c r="AR28" s="35"/>
      <c r="AS28" s="172"/>
      <c r="AU28" s="146"/>
      <c r="AV28" s="146">
        <f>IF(B28="","",SUM($P$6:P28)+$P$28)</f>
      </c>
      <c r="AW28" s="146"/>
      <c r="AX28" s="146">
        <f t="shared" si="20"/>
      </c>
    </row>
    <row r="29" spans="1:48" s="90" customFormat="1" ht="13.5" thickBot="1">
      <c r="A29" s="81"/>
      <c r="B29" s="81"/>
      <c r="C29"/>
      <c r="D29" s="81"/>
      <c r="E29" s="76"/>
      <c r="F29"/>
      <c r="G29" s="76"/>
      <c r="H29" s="107"/>
      <c r="I29" s="82" t="s">
        <v>5</v>
      </c>
      <c r="J29" s="82"/>
      <c r="K29" s="83">
        <f>SUM(K6:K28)</f>
        <v>23461.424341335583</v>
      </c>
      <c r="L29" s="83">
        <f>SUM(L6:L28)</f>
        <v>21430.947390296355</v>
      </c>
      <c r="M29" s="216">
        <f t="shared" si="0"/>
        <v>2030.4769510392289</v>
      </c>
      <c r="N29" s="84">
        <f>SUM(N6:N28)</f>
        <v>13434.535544940936</v>
      </c>
      <c r="O29" s="84">
        <f>SUM(O6:O28)</f>
        <v>13179.252472363254</v>
      </c>
      <c r="P29" s="297">
        <f t="shared" si="1"/>
        <v>255.2830725776821</v>
      </c>
      <c r="Q29" s="85"/>
      <c r="R29" s="86"/>
      <c r="S29" s="162"/>
      <c r="T29" s="161"/>
      <c r="U29" s="162"/>
      <c r="V29" s="162">
        <f>SUM(V7:V27)</f>
        <v>210</v>
      </c>
      <c r="W29" s="89">
        <f>SUM(W7:W27)</f>
        <v>16800</v>
      </c>
      <c r="X29" s="88"/>
      <c r="Y29" s="89">
        <f aca="true" t="shared" si="24" ref="Y29:AE29">SUM(Y7:Y27)</f>
        <v>19056.42434133558</v>
      </c>
      <c r="Z29" s="301">
        <f t="shared" si="24"/>
        <v>4405</v>
      </c>
      <c r="AA29" s="87">
        <f t="shared" si="24"/>
        <v>4200</v>
      </c>
      <c r="AB29" s="87">
        <f t="shared" si="24"/>
        <v>1050</v>
      </c>
      <c r="AC29" s="87">
        <f t="shared" si="24"/>
        <v>2100</v>
      </c>
      <c r="AD29" s="89">
        <f t="shared" si="24"/>
        <v>1260</v>
      </c>
      <c r="AE29" s="87">
        <f t="shared" si="24"/>
        <v>8610</v>
      </c>
      <c r="AF29" s="85"/>
      <c r="AG29" s="87">
        <f>SUM(AG7:AG27)</f>
        <v>9755.892299014122</v>
      </c>
      <c r="AH29" s="89">
        <f>SUM(AH7:AH27)</f>
        <v>4200</v>
      </c>
      <c r="AI29" s="167"/>
      <c r="AJ29" s="89">
        <f>SUM(AJ7:AJ27)</f>
        <v>4694.317195018418</v>
      </c>
      <c r="AK29" s="89">
        <f>SUM(AK7:AK27)</f>
        <v>2100</v>
      </c>
      <c r="AL29" s="85"/>
      <c r="AM29" s="171">
        <f>SUM(AM7:AM27)</f>
        <v>2347.158597509209</v>
      </c>
      <c r="AN29" s="89">
        <f>SUM(AN7:AN27)</f>
        <v>1050</v>
      </c>
      <c r="AO29" s="85"/>
      <c r="AP29" s="171">
        <f>SUM(AP7:AP27)</f>
        <v>1173.5792987546045</v>
      </c>
      <c r="AQ29" s="87">
        <f>SUM(AQ7:AQ27)</f>
        <v>1000</v>
      </c>
      <c r="AR29" s="87"/>
      <c r="AS29" s="171">
        <f>SUM(AS7:AS27)</f>
        <v>1000</v>
      </c>
      <c r="AT29" s="90" t="s">
        <v>155</v>
      </c>
      <c r="AU29" s="145">
        <f>SUM(AU7:AU28)</f>
        <v>10543.613221957348</v>
      </c>
      <c r="AV29" s="24"/>
    </row>
    <row r="30" spans="5:49" ht="13.5" thickBot="1">
      <c r="E30" s="69"/>
      <c r="G30" s="69"/>
      <c r="H30" s="108"/>
      <c r="I30" s="73" t="s">
        <v>162</v>
      </c>
      <c r="J30" s="73"/>
      <c r="K30" s="74">
        <f>K29/$I$28</f>
        <v>1117.210682920742</v>
      </c>
      <c r="L30" s="74">
        <f>L29/$I$28</f>
        <v>1020.5213042998264</v>
      </c>
      <c r="M30" s="217">
        <f t="shared" si="0"/>
        <v>96.6893786209157</v>
      </c>
      <c r="N30" s="75"/>
      <c r="O30" s="75" t="s">
        <v>180</v>
      </c>
      <c r="P30" s="75">
        <f>PMT(Eingabe_u_Ergebnisübersicht!F19/100,Berechnungen!I28,Berechnungen!P29*-1)</f>
        <v>19.911085875664032</v>
      </c>
      <c r="Q30" s="43"/>
      <c r="R30" s="296">
        <f>AVERAGE(R7:R28)</f>
        <v>1</v>
      </c>
      <c r="S30" s="70"/>
      <c r="T30" s="163"/>
      <c r="U30" s="163"/>
      <c r="V30" s="164">
        <f>V29/$I$28</f>
        <v>10</v>
      </c>
      <c r="W30" s="80">
        <f>W29/$I$28</f>
        <v>800</v>
      </c>
      <c r="X30" s="68"/>
      <c r="Y30" s="80">
        <f>Y29/$I$28</f>
        <v>907.4487781588372</v>
      </c>
      <c r="Z30" s="144">
        <f>Z29/$I$28</f>
        <v>209.76190476190476</v>
      </c>
      <c r="AA30" s="71"/>
      <c r="AB30" s="71"/>
      <c r="AC30" s="71"/>
      <c r="AD30" s="80"/>
      <c r="AE30" s="71"/>
      <c r="AF30" s="71"/>
      <c r="AG30" s="71">
        <f>AG29/$I$28</f>
        <v>464.56629995305343</v>
      </c>
      <c r="AH30" s="80">
        <f>AH29/$I$28</f>
        <v>200</v>
      </c>
      <c r="AI30" s="168"/>
      <c r="AJ30" s="80">
        <f>AJ29/$I$28</f>
        <v>223.53891404849608</v>
      </c>
      <c r="AK30" s="80">
        <f>AK29/$I$28</f>
        <v>100</v>
      </c>
      <c r="AL30" s="71"/>
      <c r="AM30" s="168">
        <f>AM29/$I$28</f>
        <v>111.76945702424804</v>
      </c>
      <c r="AN30" s="80">
        <f>AN29/$I$28</f>
        <v>50</v>
      </c>
      <c r="AO30" s="71"/>
      <c r="AP30" s="168">
        <f>AP29/$I$28</f>
        <v>55.88472851212402</v>
      </c>
      <c r="AQ30" s="71">
        <f>AQ29/$I$28</f>
        <v>47.61904761904762</v>
      </c>
      <c r="AR30" s="71"/>
      <c r="AS30" s="72">
        <f>AS29/$I$28</f>
        <v>47.61904761904762</v>
      </c>
      <c r="AV30" s="134"/>
      <c r="AW30" s="90"/>
    </row>
    <row r="31" spans="4:50" ht="13.5" thickBot="1">
      <c r="D31" s="141">
        <v>2013</v>
      </c>
      <c r="E31" s="140">
        <f>Eingabe_u_Ergebnisübersicht!M9</f>
        <v>285</v>
      </c>
      <c r="G31" s="242"/>
      <c r="H31" s="243"/>
      <c r="I31" s="245" t="s">
        <v>330</v>
      </c>
      <c r="J31" s="245" t="str">
        <f>"("&amp;H28&amp;"x)"</f>
        <v>(7x)</v>
      </c>
      <c r="K31" s="246">
        <f>K29/$H$28</f>
        <v>3351.632048762226</v>
      </c>
      <c r="L31" s="246">
        <f>L29/$H$28</f>
        <v>3061.5639128994794</v>
      </c>
      <c r="M31" s="246">
        <f>M29/$H$28</f>
        <v>290.068135862747</v>
      </c>
      <c r="N31" s="75"/>
      <c r="O31" s="75"/>
      <c r="P31" s="75"/>
      <c r="Q31" s="43"/>
      <c r="R31" s="130"/>
      <c r="S31" s="70"/>
      <c r="T31" s="163"/>
      <c r="U31" s="163"/>
      <c r="V31" s="247">
        <f>V29/$H$28</f>
        <v>30</v>
      </c>
      <c r="W31" s="80">
        <f>W29/$H$28</f>
        <v>2400</v>
      </c>
      <c r="X31" s="68"/>
      <c r="Y31" s="248">
        <f>Y29/$H$28</f>
        <v>2722.3463344765114</v>
      </c>
      <c r="Z31" s="244">
        <f>Z29/$H$28</f>
        <v>629.2857142857143</v>
      </c>
      <c r="AA31" s="249">
        <f>AA29/$H$28</f>
        <v>600</v>
      </c>
      <c r="AB31" s="249">
        <f aca="true" t="shared" si="25" ref="AB31:AS31">AB29/$H$28</f>
        <v>150</v>
      </c>
      <c r="AC31" s="249">
        <f t="shared" si="25"/>
        <v>300</v>
      </c>
      <c r="AD31" s="248">
        <f t="shared" si="25"/>
        <v>180</v>
      </c>
      <c r="AE31" s="71">
        <f t="shared" si="25"/>
        <v>1230</v>
      </c>
      <c r="AF31" s="71"/>
      <c r="AG31" s="249">
        <f t="shared" si="25"/>
        <v>1393.6988998591603</v>
      </c>
      <c r="AH31" s="238">
        <f t="shared" si="25"/>
        <v>600</v>
      </c>
      <c r="AI31" s="239"/>
      <c r="AJ31" s="238">
        <f t="shared" si="25"/>
        <v>670.6167421454883</v>
      </c>
      <c r="AK31" s="238">
        <f t="shared" si="25"/>
        <v>300</v>
      </c>
      <c r="AL31" s="240">
        <f t="shared" si="25"/>
        <v>0</v>
      </c>
      <c r="AM31" s="239">
        <f t="shared" si="25"/>
        <v>335.30837107274414</v>
      </c>
      <c r="AN31" s="238">
        <f t="shared" si="25"/>
        <v>150</v>
      </c>
      <c r="AO31" s="237"/>
      <c r="AP31" s="168">
        <f t="shared" si="25"/>
        <v>167.65418553637207</v>
      </c>
      <c r="AQ31" s="240">
        <f t="shared" si="25"/>
        <v>142.85714285714286</v>
      </c>
      <c r="AR31" s="240">
        <f t="shared" si="25"/>
        <v>0</v>
      </c>
      <c r="AS31" s="241">
        <f t="shared" si="25"/>
        <v>142.85714285714286</v>
      </c>
      <c r="AV31" t="s">
        <v>182</v>
      </c>
      <c r="AX31" s="66">
        <f>IF(P29&lt;0,"",MIN(AX7:AX28))</f>
        <v>18</v>
      </c>
    </row>
    <row r="32" spans="4:47" ht="12.75">
      <c r="D32" s="141">
        <v>2020</v>
      </c>
      <c r="E32" s="140">
        <f>Eingabe_u_Ergebnisübersicht!M10</f>
        <v>250</v>
      </c>
      <c r="I32" s="18"/>
      <c r="J32" s="18"/>
      <c r="O32" s="30"/>
      <c r="P32" s="101"/>
      <c r="AT32" s="115" t="s">
        <v>178</v>
      </c>
      <c r="AU32" s="132">
        <f>P29</f>
        <v>255.2830725776821</v>
      </c>
    </row>
    <row r="33" spans="4:47" ht="12.75">
      <c r="D33" s="141">
        <v>2027</v>
      </c>
      <c r="E33" s="140">
        <f>Eingabe_u_Ergebnisübersicht!M11</f>
        <v>200</v>
      </c>
      <c r="AT33" s="115" t="s">
        <v>202</v>
      </c>
      <c r="AU33" s="132">
        <f>AU29-AU32</f>
        <v>10288.330149379666</v>
      </c>
    </row>
    <row r="34" spans="4:47" ht="12.75">
      <c r="D34" s="141">
        <v>2033</v>
      </c>
      <c r="E34" s="140">
        <f>Eingabe_u_Ergebnisübersicht!M12</f>
        <v>100</v>
      </c>
      <c r="AT34" s="115" t="s">
        <v>393</v>
      </c>
      <c r="AU34" s="143">
        <f>AU33/AU29</f>
        <v>0.975787894794353</v>
      </c>
    </row>
    <row r="35" ht="13.5" thickBot="1"/>
    <row r="36" spans="12:46" ht="12.75">
      <c r="L36" s="124"/>
      <c r="M36" s="42"/>
      <c r="N36" s="42" t="s">
        <v>47</v>
      </c>
      <c r="O36" s="42"/>
      <c r="P36" s="282" t="s">
        <v>371</v>
      </c>
      <c r="AT36" s="115"/>
    </row>
    <row r="37" spans="12:16" ht="12.75">
      <c r="L37" s="20"/>
      <c r="M37" s="18"/>
      <c r="N37" s="18">
        <f aca="true" t="shared" si="26" ref="N37:N50">I7</f>
        <v>1</v>
      </c>
      <c r="P37" s="281">
        <f>IF(N37="","",$P$30)</f>
        <v>19.911085875664032</v>
      </c>
    </row>
    <row r="38" spans="12:16" ht="12.75">
      <c r="L38" s="20"/>
      <c r="M38" s="18"/>
      <c r="N38" s="18">
        <f t="shared" si="26"/>
        <v>2</v>
      </c>
      <c r="P38" s="281">
        <f aca="true" t="shared" si="27" ref="P38:P57">IF(N38="","",$P$30)</f>
        <v>19.911085875664032</v>
      </c>
    </row>
    <row r="39" spans="12:16" ht="12.75">
      <c r="L39" s="20"/>
      <c r="M39" s="18"/>
      <c r="N39" s="18">
        <f t="shared" si="26"/>
        <v>3</v>
      </c>
      <c r="P39" s="281">
        <f t="shared" si="27"/>
        <v>19.911085875664032</v>
      </c>
    </row>
    <row r="40" spans="12:16" ht="12.75">
      <c r="L40" s="20"/>
      <c r="M40" s="18"/>
      <c r="N40" s="18">
        <f t="shared" si="26"/>
        <v>4</v>
      </c>
      <c r="P40" s="281">
        <f t="shared" si="27"/>
        <v>19.911085875664032</v>
      </c>
    </row>
    <row r="41" spans="12:16" ht="12.75">
      <c r="L41" s="20"/>
      <c r="M41" s="18"/>
      <c r="N41" s="18">
        <f t="shared" si="26"/>
        <v>5</v>
      </c>
      <c r="P41" s="281">
        <f t="shared" si="27"/>
        <v>19.911085875664032</v>
      </c>
    </row>
    <row r="42" spans="12:16" ht="12.75">
      <c r="L42" s="20"/>
      <c r="M42" s="18"/>
      <c r="N42" s="18">
        <f t="shared" si="26"/>
        <v>6</v>
      </c>
      <c r="P42" s="281">
        <f t="shared" si="27"/>
        <v>19.911085875664032</v>
      </c>
    </row>
    <row r="43" spans="12:16" ht="12.75">
      <c r="L43" s="20"/>
      <c r="M43" s="18"/>
      <c r="N43" s="18">
        <f t="shared" si="26"/>
        <v>7</v>
      </c>
      <c r="P43" s="281">
        <f t="shared" si="27"/>
        <v>19.911085875664032</v>
      </c>
    </row>
    <row r="44" spans="12:16" ht="12.75">
      <c r="L44" s="20"/>
      <c r="M44" s="18"/>
      <c r="N44" s="18">
        <f t="shared" si="26"/>
        <v>8</v>
      </c>
      <c r="P44" s="281">
        <f t="shared" si="27"/>
        <v>19.911085875664032</v>
      </c>
    </row>
    <row r="45" spans="12:16" ht="12.75">
      <c r="L45" s="20"/>
      <c r="M45" s="18"/>
      <c r="N45" s="18">
        <f t="shared" si="26"/>
        <v>9</v>
      </c>
      <c r="P45" s="281">
        <f t="shared" si="27"/>
        <v>19.911085875664032</v>
      </c>
    </row>
    <row r="46" spans="12:16" ht="12.75">
      <c r="L46" s="20"/>
      <c r="M46" s="18"/>
      <c r="N46" s="18">
        <f t="shared" si="26"/>
        <v>10</v>
      </c>
      <c r="P46" s="281">
        <f t="shared" si="27"/>
        <v>19.911085875664032</v>
      </c>
    </row>
    <row r="47" spans="12:16" ht="12.75">
      <c r="L47" s="20"/>
      <c r="M47" s="18"/>
      <c r="N47" s="18">
        <f t="shared" si="26"/>
        <v>11</v>
      </c>
      <c r="P47" s="281">
        <f t="shared" si="27"/>
        <v>19.911085875664032</v>
      </c>
    </row>
    <row r="48" spans="12:16" ht="12.75">
      <c r="L48" s="20"/>
      <c r="M48" s="18"/>
      <c r="N48" s="18">
        <f t="shared" si="26"/>
        <v>12</v>
      </c>
      <c r="P48" s="281">
        <f t="shared" si="27"/>
        <v>19.911085875664032</v>
      </c>
    </row>
    <row r="49" spans="12:16" ht="12.75">
      <c r="L49" s="20"/>
      <c r="M49" s="18"/>
      <c r="N49" s="18">
        <f t="shared" si="26"/>
        <v>13</v>
      </c>
      <c r="P49" s="281">
        <f t="shared" si="27"/>
        <v>19.911085875664032</v>
      </c>
    </row>
    <row r="50" spans="12:16" ht="12.75">
      <c r="L50" s="20"/>
      <c r="M50" s="18"/>
      <c r="N50" s="18">
        <f t="shared" si="26"/>
        <v>14</v>
      </c>
      <c r="P50" s="281">
        <f t="shared" si="27"/>
        <v>19.911085875664032</v>
      </c>
    </row>
    <row r="51" spans="12:16" ht="12.75">
      <c r="L51" s="20"/>
      <c r="M51" s="18"/>
      <c r="N51" s="18">
        <f aca="true" t="shared" si="28" ref="N51:N57">I21</f>
        <v>15</v>
      </c>
      <c r="O51" s="18"/>
      <c r="P51" s="281">
        <f t="shared" si="27"/>
        <v>19.911085875664032</v>
      </c>
    </row>
    <row r="52" spans="12:16" ht="12.75">
      <c r="L52" s="20"/>
      <c r="M52" s="18"/>
      <c r="N52" s="18">
        <f t="shared" si="28"/>
        <v>16</v>
      </c>
      <c r="O52" s="18"/>
      <c r="P52" s="281">
        <f t="shared" si="27"/>
        <v>19.911085875664032</v>
      </c>
    </row>
    <row r="53" spans="12:16" ht="12.75">
      <c r="L53" s="20"/>
      <c r="M53" s="18"/>
      <c r="N53" s="18">
        <f t="shared" si="28"/>
        <v>17</v>
      </c>
      <c r="O53" s="18"/>
      <c r="P53" s="281">
        <f t="shared" si="27"/>
        <v>19.911085875664032</v>
      </c>
    </row>
    <row r="54" spans="12:16" ht="12.75">
      <c r="L54" s="20"/>
      <c r="M54" s="18"/>
      <c r="N54" s="18">
        <f t="shared" si="28"/>
        <v>18</v>
      </c>
      <c r="O54" s="18"/>
      <c r="P54" s="281">
        <f t="shared" si="27"/>
        <v>19.911085875664032</v>
      </c>
    </row>
    <row r="55" spans="12:16" ht="12.75">
      <c r="L55" s="20"/>
      <c r="M55" s="18"/>
      <c r="N55" s="18">
        <f t="shared" si="28"/>
        <v>19</v>
      </c>
      <c r="O55" s="18"/>
      <c r="P55" s="281">
        <f t="shared" si="27"/>
        <v>19.911085875664032</v>
      </c>
    </row>
    <row r="56" spans="12:16" ht="12.75">
      <c r="L56" s="20"/>
      <c r="M56" s="18"/>
      <c r="N56" s="18">
        <f t="shared" si="28"/>
        <v>20</v>
      </c>
      <c r="O56" s="18"/>
      <c r="P56" s="281">
        <f t="shared" si="27"/>
        <v>19.911085875664032</v>
      </c>
    </row>
    <row r="57" spans="12:16" ht="12.75">
      <c r="L57" s="20"/>
      <c r="M57" s="18"/>
      <c r="N57" s="18">
        <f t="shared" si="28"/>
        <v>21</v>
      </c>
      <c r="O57" s="18"/>
      <c r="P57" s="281">
        <f t="shared" si="27"/>
        <v>19.911085875664032</v>
      </c>
    </row>
    <row r="58" spans="12:16" ht="12.75">
      <c r="L58" s="20"/>
      <c r="M58" s="18"/>
      <c r="N58" s="18"/>
      <c r="O58" s="103" t="s">
        <v>370</v>
      </c>
      <c r="P58" s="277">
        <f>SUM(P37:P57)</f>
        <v>418.1328033889446</v>
      </c>
    </row>
    <row r="59" spans="12:16" ht="13.5" thickBot="1">
      <c r="L59" s="95"/>
      <c r="M59" s="43"/>
      <c r="N59" s="43"/>
      <c r="O59" s="278" t="s">
        <v>369</v>
      </c>
      <c r="P59" s="279">
        <f>PV(Eingabe_u_Ergebnisübersicht!F19/100,MAX(N37:N57),P30*-1)</f>
        <v>255.2830725776821</v>
      </c>
    </row>
    <row r="60" ht="12.75">
      <c r="P60" s="132"/>
    </row>
    <row r="61" ht="12.75">
      <c r="P61" s="132"/>
    </row>
    <row r="62" ht="12.75">
      <c r="P62" s="132"/>
    </row>
    <row r="63" ht="12.75">
      <c r="P63" s="132"/>
    </row>
    <row r="64" ht="12.75">
      <c r="P64" s="132"/>
    </row>
    <row r="65" ht="12.75">
      <c r="P65" s="132"/>
    </row>
    <row r="66" ht="12.75">
      <c r="P66" s="132"/>
    </row>
    <row r="67" ht="12.75">
      <c r="P67" s="132"/>
    </row>
    <row r="68" ht="12.75">
      <c r="P68" s="132"/>
    </row>
    <row r="69" ht="12.75">
      <c r="P69" s="132"/>
    </row>
    <row r="70" ht="12.75">
      <c r="P70" s="132"/>
    </row>
    <row r="71" ht="12.75">
      <c r="P71" s="132"/>
    </row>
    <row r="72" ht="12.75">
      <c r="P72" s="132"/>
    </row>
    <row r="73" ht="12.75">
      <c r="P73" s="132"/>
    </row>
  </sheetData>
  <sheetProtection sheet="1" objects="1" scenarios="1"/>
  <mergeCells count="1">
    <mergeCell ref="G2:I2"/>
  </mergeCells>
  <conditionalFormatting sqref="Q28 G7:Q27 B7:B27 S7:Y28 Z28 AV6:AV28 E7:E27 AA7:AS28 AU7:AU28 AW7:AX28">
    <cfRule type="expression" priority="1" dxfId="3" stopIfTrue="1">
      <formula>$B6=0</formula>
    </cfRule>
  </conditionalFormatting>
  <hyperlinks>
    <hyperlink ref="S2" location="Infos_Dateneingabe!A105:K123" display="Info (13)"/>
    <hyperlink ref="G2" location="Eingabe_u_Ergebnisübersicht!A1" display="Dateneingabe"/>
  </hyperlinks>
  <printOptions horizontalCentered="1" verticalCentered="1"/>
  <pageMargins left="0.7874015748031497" right="0.7874015748031497" top="0.984251968503937" bottom="0.984251968503937" header="0.5118110236220472" footer="0.5118110236220472"/>
  <pageSetup fitToWidth="0" fitToHeight="1" horizontalDpi="1200" verticalDpi="1200" orientation="landscape" paperSize="9" scale="96" r:id="rId4"/>
  <headerFooter alignWithMargins="0">
    <oddFooter>&amp;LLTZ / LEL KUP-Rechner&amp;C&amp;F&amp;R&amp;A</oddFooter>
  </headerFooter>
  <colBreaks count="1" manualBreakCount="1">
    <brk id="26" max="33" man="1"/>
  </colBreaks>
  <drawing r:id="rId3"/>
  <legacyDrawing r:id="rId2"/>
</worksheet>
</file>

<file path=xl/worksheets/sheet5.xml><?xml version="1.0" encoding="utf-8"?>
<worksheet xmlns="http://schemas.openxmlformats.org/spreadsheetml/2006/main" xmlns:r="http://schemas.openxmlformats.org/officeDocument/2006/relationships">
  <sheetPr codeName="Tabelle2"/>
  <dimension ref="P4:W32"/>
  <sheetViews>
    <sheetView workbookViewId="0" topLeftCell="A1">
      <selection activeCell="G2" sqref="G2"/>
    </sheetView>
  </sheetViews>
  <sheetFormatPr defaultColWidth="11.421875" defaultRowHeight="12.75"/>
  <cols>
    <col min="1" max="1" width="1.1484375" style="0" customWidth="1"/>
    <col min="6" max="6" width="17.140625" style="0" customWidth="1"/>
    <col min="16" max="16" width="5.28125" style="0" customWidth="1"/>
    <col min="17" max="17" width="4.00390625" style="0" customWidth="1"/>
    <col min="18" max="18" width="19.140625" style="0" customWidth="1"/>
    <col min="19" max="19" width="29.28125" style="0" customWidth="1"/>
    <col min="20" max="20" width="7.00390625" style="0" customWidth="1"/>
  </cols>
  <sheetData>
    <row r="1" ht="4.5" customHeight="1"/>
    <row r="4" spans="18:21" ht="13.5" customHeight="1">
      <c r="R4" s="1" t="s">
        <v>205</v>
      </c>
      <c r="S4" s="1" t="s">
        <v>206</v>
      </c>
      <c r="U4" s="1" t="s">
        <v>201</v>
      </c>
    </row>
    <row r="5" spans="17:21" ht="12.75">
      <c r="Q5" t="s">
        <v>0</v>
      </c>
      <c r="U5" s="1" t="s">
        <v>207</v>
      </c>
    </row>
    <row r="6" spans="16:23" ht="12.75">
      <c r="P6">
        <v>0</v>
      </c>
      <c r="Q6">
        <f>IF(Berechnungen!A6&lt;=$Q$31,Berechnungen!A6,"")</f>
        <v>0</v>
      </c>
      <c r="R6" s="24">
        <f>Berechnungen!M6</f>
        <v>-2460</v>
      </c>
      <c r="S6" s="24">
        <f>Berechnungen!P6</f>
        <v>-2460</v>
      </c>
      <c r="U6" s="190"/>
      <c r="V6" s="190">
        <f>IF(U6&lt;0,"",U6)</f>
        <v>0</v>
      </c>
      <c r="W6">
        <f>(IF(COUNTIF($V6:V$7,"&gt;0")&lt;&gt;1,0,COUNTIF($V6:V$7,"&gt;0")))*100</f>
        <v>0</v>
      </c>
    </row>
    <row r="7" spans="16:23" ht="12.75">
      <c r="P7">
        <v>1</v>
      </c>
      <c r="Q7">
        <f>IF(Berechnungen!A7&lt;=$Q$31,Berechnungen!A7,"")</f>
        <v>1</v>
      </c>
      <c r="R7" s="24">
        <f>IF(Q7&lt;$Q$31,Berechnungen!M7,IF(Q7=$Q$31,Berechnungen!M7+Berechnungen!$M$28,""))</f>
        <v>-68.5</v>
      </c>
      <c r="S7" s="24">
        <f>IF(Q7&lt;$Q$31,Berechnungen!P7,IF(Q7=$Q$31,Berechnungen!P7+Berechnungen!$P$28,""))</f>
        <v>-65.23809523809518</v>
      </c>
      <c r="U7" s="190">
        <f>IF(Q7="","",Berechnungen!AV7)</f>
        <v>-2884.1804598790486</v>
      </c>
      <c r="V7" s="190">
        <f aca="true" t="shared" si="0" ref="V7:V27">IF(U7&lt;0,"",U7)</f>
      </c>
      <c r="W7">
        <f>(IF(COUNTIF($V$7:V7,"&gt;0")&lt;&gt;1,0,COUNTIF($V$7:V7,"&gt;0")))*100</f>
        <v>0</v>
      </c>
    </row>
    <row r="8" spans="16:23" ht="12.75">
      <c r="P8">
        <v>2</v>
      </c>
      <c r="Q8">
        <f>IF(Berechnungen!A8&lt;=$Q$31,Berechnungen!A8,"")</f>
        <v>2</v>
      </c>
      <c r="R8" s="24">
        <f>IF(Q8&lt;$Q$31,Berechnungen!M8,IF(Q8=$Q$31,Berechnungen!M8+Berechnungen!$M$28,""))</f>
        <v>-72.03500000000003</v>
      </c>
      <c r="S8" s="24">
        <f>IF(Q8&lt;$Q$31,Berechnungen!P8,IF(Q8=$Q$31,Berechnungen!P8+Berechnungen!$P$28,""))</f>
        <v>-65.33786848072566</v>
      </c>
      <c r="U8" s="190">
        <f>IF(Q8="","",Berechnungen!AV8)</f>
        <v>-2949.5183283597744</v>
      </c>
      <c r="V8" s="190">
        <f t="shared" si="0"/>
      </c>
      <c r="W8">
        <f>(IF(COUNTIF($V$7:V8,"&gt;0")&lt;&gt;1,0,COUNTIF($V$7:V8,"&gt;0")))*100</f>
        <v>0</v>
      </c>
    </row>
    <row r="9" spans="16:23" ht="12.75">
      <c r="P9">
        <v>3</v>
      </c>
      <c r="Q9">
        <f>IF(Berechnungen!A9&lt;=$Q$31,Berechnungen!A9,"")</f>
        <v>3</v>
      </c>
      <c r="R9" s="24">
        <f>IF(Q9&lt;$Q$31,Berechnungen!M9,IF(Q9=$Q$31,Berechnungen!M9+Berechnungen!$M$28,""))</f>
        <v>382.8785949999999</v>
      </c>
      <c r="S9" s="24">
        <f>IF(Q9&lt;$Q$31,Berechnungen!P9,IF(Q9=$Q$31,Berechnungen!P9+Berechnungen!$P$28,""))</f>
        <v>330.7449260339056</v>
      </c>
      <c r="U9" s="190">
        <f>IF(Q9="","",Berechnungen!AV9)</f>
        <v>-2618.773402325869</v>
      </c>
      <c r="V9" s="190">
        <f t="shared" si="0"/>
      </c>
      <c r="W9">
        <f>(IF(COUNTIF($V$7:V9,"&gt;0")&lt;&gt;1,0,COUNTIF($V$7:V9,"&gt;0")))*100</f>
        <v>0</v>
      </c>
    </row>
    <row r="10" spans="16:23" ht="12.75">
      <c r="P10">
        <v>4</v>
      </c>
      <c r="Q10">
        <f>IF(Berechnungen!A10&lt;=$Q$31,Berechnungen!A10,"")</f>
        <v>4</v>
      </c>
      <c r="R10" s="24">
        <f>IF(Q10&lt;$Q$31,Berechnungen!M10,IF(Q10=$Q$31,Berechnungen!M10+Berechnungen!$M$28,""))</f>
        <v>-114.21140349999996</v>
      </c>
      <c r="S10" s="24">
        <f>IF(Q10&lt;$Q$31,Berechnungen!P10,IF(Q10=$Q$31,Berechnungen!P10+Berechnungen!$P$28,""))</f>
        <v>-93.96200430890417</v>
      </c>
      <c r="U10" s="190">
        <f>IF(Q10="","",Berechnungen!AV10)</f>
        <v>-2712.7354066347734</v>
      </c>
      <c r="V10" s="190">
        <f t="shared" si="0"/>
      </c>
      <c r="W10">
        <f>(IF(COUNTIF($V$7:V10,"&gt;0")&lt;&gt;1,0,COUNTIF($V$7:V10,"&gt;0")))*100</f>
        <v>0</v>
      </c>
    </row>
    <row r="11" spans="16:23" ht="12.75">
      <c r="P11">
        <v>5</v>
      </c>
      <c r="Q11">
        <f>IF(Berechnungen!A11&lt;=$Q$31,Berechnungen!A11,"")</f>
        <v>5</v>
      </c>
      <c r="R11" s="24">
        <f>IF(Q11&lt;$Q$31,Berechnungen!M11,IF(Q11=$Q$31,Berechnungen!M11+Berechnungen!$M$28,""))</f>
        <v>-117.85351753499987</v>
      </c>
      <c r="S11" s="24">
        <f>IF(Q11&lt;$Q$31,Berechnungen!P11,IF(Q11=$Q$31,Berechnungen!P11+Berechnungen!$P$28,""))</f>
        <v>-92.34131479902175</v>
      </c>
      <c r="U11" s="190">
        <f>IF(Q11="","",Berechnungen!AV11)</f>
        <v>-2805.076721433795</v>
      </c>
      <c r="V11" s="190">
        <f t="shared" si="0"/>
      </c>
      <c r="W11">
        <f>(IF(COUNTIF($V$7:V11,"&gt;0")&lt;&gt;1,0,COUNTIF($V$7:V11,"&gt;0")))*100</f>
        <v>0</v>
      </c>
    </row>
    <row r="12" spans="16:23" ht="12.75">
      <c r="P12">
        <v>6</v>
      </c>
      <c r="Q12">
        <f>IF(Berechnungen!A12&lt;=$Q$31,Berechnungen!A12,"")</f>
        <v>6</v>
      </c>
      <c r="R12" s="24">
        <f>IF(Q12&lt;$Q$31,Berechnungen!M12,IF(Q12=$Q$31,Berechnungen!M12+Berechnungen!$M$28,""))</f>
        <v>971.8337024086798</v>
      </c>
      <c r="S12" s="24">
        <f>IF(Q12&lt;$Q$31,Berechnungen!P12,IF(Q12=$Q$31,Berechnungen!P12+Berechnungen!$P$28,""))</f>
        <v>725.1972717077354</v>
      </c>
      <c r="U12" s="190">
        <f>IF(Q12="","",Berechnungen!AV12)</f>
        <v>-2079.8794497260596</v>
      </c>
      <c r="V12" s="190">
        <f t="shared" si="0"/>
      </c>
      <c r="W12">
        <f>(IF(COUNTIF($V$7:V12,"&gt;0")&lt;&gt;1,0,COUNTIF($V$7:V12,"&gt;0")))*100</f>
        <v>0</v>
      </c>
    </row>
    <row r="13" spans="16:23" ht="12.75">
      <c r="P13">
        <v>7</v>
      </c>
      <c r="Q13">
        <f>IF(Berechnungen!A13&lt;=$Q$31,Berechnungen!A13,"")</f>
        <v>7</v>
      </c>
      <c r="R13" s="24">
        <f>IF(Q13&lt;$Q$31,Berechnungen!M13,IF(Q13=$Q$31,Berechnungen!M13+Berechnungen!$M$28,""))</f>
        <v>-125.24737323745342</v>
      </c>
      <c r="S13" s="24">
        <f>IF(Q13&lt;$Q$31,Berechnungen!P13,IF(Q13=$Q$31,Berechnungen!P13+Berechnungen!$P$28,""))</f>
        <v>-89.0109698076972</v>
      </c>
      <c r="U13" s="190">
        <f>IF(Q13="","",Berechnungen!AV13)</f>
        <v>-2168.890419533757</v>
      </c>
      <c r="V13" s="190">
        <f t="shared" si="0"/>
      </c>
      <c r="W13">
        <f>(IF(COUNTIF($V$7:V13,"&gt;0")&lt;&gt;1,0,COUNTIF($V$7:V13,"&gt;0")))*100</f>
        <v>0</v>
      </c>
    </row>
    <row r="14" spans="16:23" ht="73.5" customHeight="1">
      <c r="P14">
        <v>8</v>
      </c>
      <c r="Q14">
        <f>IF(Berechnungen!A14&lt;=$Q$31,Berechnungen!A14,"")</f>
        <v>8</v>
      </c>
      <c r="R14" s="24">
        <f>IF(Q14&lt;$Q$31,Berechnungen!M14,IF(Q14=$Q$31,Berechnungen!M14+Berechnungen!$M$28,""))</f>
        <v>-128.9998469698279</v>
      </c>
      <c r="S14" s="24">
        <f>IF(Q14&lt;$Q$31,Berechnungen!P14,IF(Q14=$Q$31,Berechnungen!P14+Berechnungen!$P$28,""))</f>
        <v>-87.3121741248566</v>
      </c>
      <c r="U14" s="190">
        <f>IF(Q14="","",Berechnungen!AV14)</f>
        <v>-2256.2025936586133</v>
      </c>
      <c r="V14" s="190">
        <f t="shared" si="0"/>
      </c>
      <c r="W14">
        <f>(IF(COUNTIF($V$7:V14,"&gt;0")&lt;&gt;1,0,COUNTIF($V$7:V14,"&gt;0")))*100</f>
        <v>0</v>
      </c>
    </row>
    <row r="15" spans="16:23" ht="12.75">
      <c r="P15">
        <v>9</v>
      </c>
      <c r="Q15">
        <f>IF(Berechnungen!A15&lt;=$Q$31,Berechnungen!A15,"")</f>
        <v>9</v>
      </c>
      <c r="R15" s="24">
        <f>IF(Q15&lt;$Q$31,Berechnungen!M15,IF(Q15=$Q$31,Berechnungen!M15+Berechnungen!$M$28,""))</f>
        <v>1535.080195404124</v>
      </c>
      <c r="S15" s="24">
        <f>IF(Q15&lt;$Q$31,Berechnungen!P15,IF(Q15=$Q$31,Berechnungen!P15+Berechnungen!$P$28,""))</f>
        <v>989.5263810668566</v>
      </c>
      <c r="U15" s="190">
        <f>IF(Q15="","",Berechnungen!AV15)</f>
        <v>-1266.676212591757</v>
      </c>
      <c r="V15" s="190">
        <f t="shared" si="0"/>
      </c>
      <c r="W15">
        <f>(IF(COUNTIF($V$7:V15,"&gt;0")&lt;&gt;1,0,COUNTIF($V$7:V15,"&gt;0")))*100</f>
        <v>0</v>
      </c>
    </row>
    <row r="16" spans="16:23" ht="47.25" customHeight="1">
      <c r="P16">
        <v>10</v>
      </c>
      <c r="Q16">
        <f>IF(Berechnungen!A16&lt;=$Q$31,Berechnungen!A16,"")</f>
        <v>10</v>
      </c>
      <c r="R16" s="24">
        <f>IF(Q16&lt;$Q$31,Berechnungen!M16,IF(Q16=$Q$31,Berechnungen!M16+Berechnungen!$M$28,""))</f>
        <v>-136.61774389392156</v>
      </c>
      <c r="S16" s="24">
        <f>IF(Q16&lt;$Q$31,Berechnungen!P16,IF(Q16=$Q$31,Berechnungen!P16+Berechnungen!$P$28,""))</f>
        <v>-83.87144364531557</v>
      </c>
      <c r="U16" s="190">
        <f>IF(Q16="","",Berechnungen!AV16)</f>
        <v>-1350.5476562370725</v>
      </c>
      <c r="V16" s="190">
        <f t="shared" si="0"/>
      </c>
      <c r="W16">
        <f>(IF(COUNTIF($V$7:V16,"&gt;0")&lt;&gt;1,0,COUNTIF($V$7:V16,"&gt;0")))*100</f>
        <v>0</v>
      </c>
    </row>
    <row r="17" spans="16:23" ht="12.75">
      <c r="P17">
        <v>11</v>
      </c>
      <c r="Q17">
        <f>IF(Berechnungen!A17&lt;=$Q$31,Berechnungen!A17,"")</f>
        <v>11</v>
      </c>
      <c r="R17" s="24">
        <f>IF(Q17&lt;$Q$31,Berechnungen!M17,IF(Q17=$Q$31,Berechnungen!M17+Berechnungen!$M$28,""))</f>
        <v>-190.48392133286075</v>
      </c>
      <c r="S17" s="24">
        <f>IF(Q17&lt;$Q$31,Berechnungen!P17,IF(Q17=$Q$31,Berechnungen!P17+Berechnungen!$P$28,""))</f>
        <v>-111.37200370729389</v>
      </c>
      <c r="U17" s="190">
        <f>IF(Q17="","",Berechnungen!AV17)</f>
        <v>-1461.9196599443665</v>
      </c>
      <c r="V17" s="190">
        <f t="shared" si="0"/>
      </c>
      <c r="W17">
        <f>(IF(COUNTIF($V$7:V17,"&gt;0")&lt;&gt;1,0,COUNTIF($V$7:V17,"&gt;0")))*100</f>
        <v>0</v>
      </c>
    </row>
    <row r="18" spans="16:23" ht="12.75">
      <c r="P18">
        <v>12</v>
      </c>
      <c r="Q18">
        <f>IF(Berechnungen!A18&lt;=$Q$31,Berechnungen!A18,"")</f>
        <v>12</v>
      </c>
      <c r="R18" s="24">
        <f>IF(Q18&lt;$Q$31,Berechnungen!M18,IF(Q18=$Q$31,Berechnungen!M18+Berechnungen!$M$28,""))</f>
        <v>1574.726536761003</v>
      </c>
      <c r="S18" s="24">
        <f>IF(Q18&lt;$Q$31,Berechnungen!P18,IF(Q18=$Q$31,Berechnungen!P18+Berechnungen!$P$28,""))</f>
        <v>876.8666590656869</v>
      </c>
      <c r="U18" s="190">
        <f>IF(Q18="","",Berechnungen!AV18)</f>
        <v>-585.0530008786795</v>
      </c>
      <c r="V18" s="190">
        <f t="shared" si="0"/>
      </c>
      <c r="W18">
        <f>(IF(COUNTIF($V$7:V18,"&gt;0")&lt;&gt;1,0,COUNTIF($V$7:V18,"&gt;0")))*100</f>
        <v>0</v>
      </c>
    </row>
    <row r="19" spans="16:23" ht="12.75">
      <c r="P19">
        <v>13</v>
      </c>
      <c r="Q19">
        <f>IF(Berechnungen!A19&lt;=$Q$31,Berechnungen!A19,"")</f>
        <v>13</v>
      </c>
      <c r="R19" s="24">
        <f>IF(Q19&lt;$Q$31,Berechnungen!M19,IF(Q19=$Q$31,Berechnungen!M19+Berechnungen!$M$28,""))</f>
        <v>-198.33264815165126</v>
      </c>
      <c r="S19" s="24">
        <f>IF(Q19&lt;$Q$31,Berechnungen!P19,IF(Q19=$Q$31,Berechnungen!P19+Berechnungen!$P$28,""))</f>
        <v>-105.1800378448417</v>
      </c>
      <c r="U19" s="190">
        <f>IF(Q19="","",Berechnungen!AV19)</f>
        <v>-690.2330387235213</v>
      </c>
      <c r="V19" s="190">
        <f t="shared" si="0"/>
      </c>
      <c r="W19">
        <f>(IF(COUNTIF($V$7:V19,"&gt;0")&lt;&gt;1,0,COUNTIF($V$7:V19,"&gt;0")))*100</f>
        <v>0</v>
      </c>
    </row>
    <row r="20" spans="16:23" ht="12.75">
      <c r="P20">
        <v>14</v>
      </c>
      <c r="Q20">
        <f>IF(Berechnungen!A20&lt;=$Q$31,Berechnungen!A20,"")</f>
        <v>14</v>
      </c>
      <c r="R20" s="24">
        <f>IF(Q20&lt;$Q$31,Berechnungen!M20,IF(Q20=$Q$31,Berechnungen!M20+Berechnungen!$M$28,""))</f>
        <v>-202.31597463316774</v>
      </c>
      <c r="S20" s="24">
        <f>IF(Q20&lt;$Q$31,Berechnungen!P20,IF(Q20=$Q$31,Berechnungen!P20+Berechnungen!$P$28,""))</f>
        <v>-102.18331516626736</v>
      </c>
      <c r="U20" s="190">
        <f>IF(Q20="","",Berechnungen!AV20)</f>
        <v>-792.4163538897886</v>
      </c>
      <c r="V20" s="190">
        <f t="shared" si="0"/>
      </c>
      <c r="W20">
        <f>(IF(COUNTIF($V$7:V20,"&gt;0")&lt;&gt;1,0,COUNTIF($V$7:V20,"&gt;0")))*100</f>
        <v>0</v>
      </c>
    </row>
    <row r="21" spans="16:23" ht="12.75">
      <c r="P21">
        <v>15</v>
      </c>
      <c r="Q21">
        <f>IF(Berechnungen!A21&lt;=$Q$31,Berechnungen!A21,"")</f>
        <v>15</v>
      </c>
      <c r="R21" s="24">
        <f>IF(Q21&lt;$Q$31,Berechnungen!M21,IF(Q21=$Q$31,Berechnungen!M21+Berechnungen!$M$28,""))</f>
        <v>1511.894919568098</v>
      </c>
      <c r="S21" s="24">
        <f>IF(Q21&lt;$Q$31,Berechnungen!P21,IF(Q21=$Q$31,Berechnungen!P21+Berechnungen!$P$28,""))</f>
        <v>727.2473068291274</v>
      </c>
      <c r="U21" s="190">
        <f>IF(Q21="","",Berechnungen!AV21)</f>
        <v>-65.16904706066123</v>
      </c>
      <c r="V21" s="190">
        <f t="shared" si="0"/>
      </c>
      <c r="W21">
        <f>(IF(COUNTIF($V$7:V21,"&gt;0")&lt;&gt;1,0,COUNTIF($V$7:V21,"&gt;0")))*100</f>
        <v>0</v>
      </c>
    </row>
    <row r="22" spans="16:23" ht="12.75">
      <c r="P22">
        <v>16</v>
      </c>
      <c r="Q22">
        <f>IF(Berechnungen!A22&lt;=$Q$31,Berechnungen!A22,"")</f>
        <v>16</v>
      </c>
      <c r="R22" s="24">
        <f>IF(Q22&lt;$Q$31,Berechnungen!M22,IF(Q22=$Q$31,Berechnungen!M22+Berechnungen!$M$28,""))</f>
        <v>-210.40252572329433</v>
      </c>
      <c r="S22" s="24">
        <f>IF(Q22&lt;$Q$31,Berechnungen!P22,IF(Q22=$Q$31,Berechnungen!P22+Berechnungen!$P$28,""))</f>
        <v>-96.3878212899331</v>
      </c>
      <c r="U22" s="190">
        <f>IF(Q22="","",Berechnungen!AV22)</f>
        <v>-161.55686835059433</v>
      </c>
      <c r="V22" s="190">
        <f t="shared" si="0"/>
      </c>
      <c r="W22">
        <f>(IF(COUNTIF($V$7:V22,"&gt;0")&lt;&gt;1,0,COUNTIF($V$7:V22,"&gt;0")))*100</f>
        <v>0</v>
      </c>
    </row>
    <row r="23" spans="16:23" ht="12.75">
      <c r="P23">
        <v>17</v>
      </c>
      <c r="Q23">
        <f>IF(Berechnungen!A23&lt;=$Q$31,Berechnungen!A23,"")</f>
        <v>17</v>
      </c>
      <c r="R23" s="24">
        <f>IF(Q23&lt;$Q$31,Berechnungen!M23,IF(Q23=$Q$31,Berechnungen!M23+Berechnungen!$M$28,""))</f>
        <v>-214.50655098052732</v>
      </c>
      <c r="S23" s="24">
        <f>IF(Q23&lt;$Q$31,Berechnungen!P23,IF(Q23=$Q$31,Berechnungen!P23+Berechnungen!$P$28,""))</f>
        <v>-93.58849766363356</v>
      </c>
      <c r="U23" s="190">
        <f>IF(Q23="","",Berechnungen!AV23)</f>
        <v>-255.14536601422787</v>
      </c>
      <c r="V23" s="190">
        <f t="shared" si="0"/>
      </c>
      <c r="W23">
        <f>(IF(COUNTIF($V$7:V23,"&gt;0")&lt;&gt;1,0,COUNTIF($V$7:V23,"&gt;0")))*100</f>
        <v>0</v>
      </c>
    </row>
    <row r="24" spans="16:23" ht="12.75">
      <c r="P24">
        <v>18</v>
      </c>
      <c r="Q24">
        <f>IF(Berechnungen!A24&lt;=$Q$31,Berechnungen!A24,"")</f>
        <v>18</v>
      </c>
      <c r="R24" s="24">
        <f>IF(Q24&lt;$Q$31,Berechnungen!M24,IF(Q24=$Q$31,Berechnungen!M24+Berechnungen!$M$28,""))</f>
        <v>1128.6868290905315</v>
      </c>
      <c r="S24" s="24">
        <f>IF(Q24&lt;$Q$31,Berechnungen!P24,IF(Q24=$Q$31,Berechnungen!P24+Berechnungen!$P$28,""))</f>
        <v>468.99269036400074</v>
      </c>
      <c r="U24" s="190">
        <f>IF(Q24="","",Berechnungen!AV24)</f>
        <v>213.84732434977286</v>
      </c>
      <c r="V24" s="190">
        <f t="shared" si="0"/>
        <v>213.84732434977286</v>
      </c>
      <c r="W24">
        <f>(IF(COUNTIF($V$7:V24,"&gt;0")&lt;&gt;1,0,COUNTIF($V$7:V24,"&gt;0")))*100</f>
        <v>100</v>
      </c>
    </row>
    <row r="25" spans="16:23" ht="12.75">
      <c r="P25">
        <v>19</v>
      </c>
      <c r="Q25">
        <f>IF(Berechnungen!A25&lt;=$Q$31,Berechnungen!A25,"")</f>
        <v>19</v>
      </c>
      <c r="R25" s="24">
        <f>IF(Q25&lt;$Q$31,Berechnungen!M25,IF(Q25=$Q$31,Berechnungen!M25+Berechnungen!$M$28,""))</f>
        <v>-322.8381326552359</v>
      </c>
      <c r="S25" s="24">
        <f>IF(Q25&lt;$Q$31,Berechnungen!P25,IF(Q25=$Q$31,Berechnungen!P25+Berechnungen!$P$28,""))</f>
        <v>-127.75801171152285</v>
      </c>
      <c r="U25" s="190">
        <f>IF(Q25="","",Berechnungen!AV25)</f>
        <v>86.08931263825002</v>
      </c>
      <c r="V25" s="190">
        <f t="shared" si="0"/>
        <v>86.08931263825002</v>
      </c>
      <c r="W25">
        <f>(IF(COUNTIF($V$7:V25,"&gt;0")&lt;&gt;1,0,COUNTIF($V$7:V25,"&gt;0")))*100</f>
        <v>0</v>
      </c>
    </row>
    <row r="26" spans="16:23" ht="12.75">
      <c r="P26">
        <v>20</v>
      </c>
      <c r="Q26">
        <f>IF(Berechnungen!A26&lt;=$Q$31,Berechnungen!A26,"")</f>
        <v>20</v>
      </c>
      <c r="R26" s="24">
        <f>IF(Q26&lt;$Q$31,Berechnungen!M26,IF(Q26=$Q$31,Berechnungen!M26+Berechnungen!$M$28,""))</f>
        <v>-327.0665139817882</v>
      </c>
      <c r="S26" s="24">
        <f>IF(Q26&lt;$Q$31,Berechnungen!P26,IF(Q26=$Q$31,Berechnungen!P26+Berechnungen!$P$28,""))</f>
        <v>-123.26792931967117</v>
      </c>
      <c r="U26" s="190">
        <f>IF(Q26="","",Berechnungen!AV26)</f>
        <v>-37.17861668142115</v>
      </c>
      <c r="V26" s="190">
        <f t="shared" si="0"/>
      </c>
      <c r="W26">
        <f>(IF(COUNTIF($V$7:V26,"&gt;0")&lt;&gt;1,0,COUNTIF($V$7:V26,"&gt;0")))*100</f>
        <v>0</v>
      </c>
    </row>
    <row r="27" spans="16:23" ht="12.75">
      <c r="P27">
        <v>21</v>
      </c>
      <c r="Q27">
        <f>IF(Berechnungen!A27&lt;=$Q$31,Berechnungen!A27,"")</f>
        <v>21</v>
      </c>
      <c r="R27" s="24">
        <f>IF(Q27&lt;$Q$31,Berechnungen!M27,IF(Q27=$Q$31,Berechnungen!M27+Berechnungen!$M$28,""))</f>
        <v>-185.2126745984815</v>
      </c>
      <c r="S27" s="24">
        <f>IF(Q27&lt;$Q$31,Berechnungen!P27,IF(Q27=$Q$31,Berechnungen!P27+Berechnungen!$P$28,""))</f>
        <v>-66.48067538185433</v>
      </c>
      <c r="U27" s="190">
        <f>IF(Q27="","",Berechnungen!AV27)</f>
        <v>255.28307257767756</v>
      </c>
      <c r="V27" s="190">
        <f t="shared" si="0"/>
        <v>255.28307257767756</v>
      </c>
      <c r="W27">
        <f>(IF(COUNTIF($V$7:V27,"&gt;0")&lt;&gt;1,0,COUNTIF($V$7:V27,"&gt;0")))*100</f>
        <v>0</v>
      </c>
    </row>
    <row r="28" spans="18:21" ht="12.75">
      <c r="R28" s="24"/>
      <c r="S28" s="24"/>
      <c r="U28" s="190"/>
    </row>
    <row r="29" ht="60.75" customHeight="1">
      <c r="U29" s="190"/>
    </row>
    <row r="30" ht="12.75">
      <c r="Q30" s="1" t="s">
        <v>46</v>
      </c>
    </row>
    <row r="31" spans="17:18" ht="12.75">
      <c r="Q31">
        <f>Berechnungen!I28</f>
        <v>21</v>
      </c>
      <c r="R31" t="s">
        <v>47</v>
      </c>
    </row>
    <row r="32" ht="12.75">
      <c r="Q32" s="1" t="str">
        <f>"Amortisation in "&amp;Eingabe_u_Ergebnisübersicht!M29&amp;" Jahren"</f>
        <v>Amortisation in 18 Jahren</v>
      </c>
    </row>
    <row r="33" ht="69" customHeight="1"/>
    <row r="34" ht="27.75" customHeight="1"/>
  </sheetData>
  <sheetProtection sheet="1" objects="1" scenarios="1"/>
  <printOptions/>
  <pageMargins left="0.75" right="0.7" top="0.85" bottom="0.67" header="0.4921259845" footer="0.24"/>
  <pageSetup horizontalDpi="1200" verticalDpi="1200" orientation="portrait" paperSize="9" r:id="rId2"/>
  <headerFooter alignWithMargins="0">
    <oddFooter>&amp;LLTZ / LEL -KUP-Rechner&amp;C&amp;F&amp;R&amp;A</oddFooter>
  </headerFooter>
  <drawing r:id="rId1"/>
</worksheet>
</file>

<file path=xl/worksheets/sheet6.xml><?xml version="1.0" encoding="utf-8"?>
<worksheet xmlns="http://schemas.openxmlformats.org/spreadsheetml/2006/main" xmlns:r="http://schemas.openxmlformats.org/officeDocument/2006/relationships">
  <sheetPr codeName="Tabelle1">
    <pageSetUpPr fitToPage="1"/>
  </sheetPr>
  <dimension ref="A2:Z295"/>
  <sheetViews>
    <sheetView workbookViewId="0" topLeftCell="A1">
      <pane ySplit="2" topLeftCell="BM3" activePane="bottomLeft" state="frozen"/>
      <selection pane="topLeft" activeCell="G2" sqref="G2"/>
      <selection pane="bottomLeft" activeCell="C1" sqref="C1"/>
    </sheetView>
  </sheetViews>
  <sheetFormatPr defaultColWidth="11.421875" defaultRowHeight="12.75"/>
  <cols>
    <col min="1" max="1" width="0.5625" style="0" customWidth="1"/>
    <col min="2" max="2" width="6.00390625" style="342" customWidth="1"/>
    <col min="3" max="3" width="19.140625" style="342" customWidth="1"/>
    <col min="4" max="4" width="18.57421875" style="376" customWidth="1"/>
    <col min="5" max="5" width="11.421875" style="376" customWidth="1"/>
    <col min="6" max="6" width="10.57421875" style="376" customWidth="1"/>
    <col min="7" max="7" width="11.421875" style="376" customWidth="1"/>
    <col min="8" max="8" width="10.421875" style="376" customWidth="1"/>
    <col min="9" max="9" width="11.421875" style="376" customWidth="1"/>
    <col min="10" max="10" width="12.00390625" style="376" customWidth="1"/>
    <col min="11" max="11" width="27.28125" style="0" customWidth="1"/>
    <col min="12" max="12" width="4.57421875" style="0" customWidth="1"/>
    <col min="13" max="13" width="13.00390625" style="0" customWidth="1"/>
    <col min="14" max="14" width="9.57421875" style="0" customWidth="1"/>
    <col min="15" max="15" width="10.421875" style="0" customWidth="1"/>
    <col min="16" max="16" width="9.00390625" style="0" customWidth="1"/>
    <col min="17" max="18" width="15.00390625" style="0" customWidth="1"/>
    <col min="19" max="20" width="13.7109375" style="0" customWidth="1"/>
    <col min="21" max="21" width="17.57421875" style="0" customWidth="1"/>
    <col min="22" max="23" width="16.57421875" style="0" customWidth="1"/>
    <col min="24" max="24" width="14.421875" style="0" bestFit="1" customWidth="1"/>
  </cols>
  <sheetData>
    <row r="1" ht="12.75"/>
    <row r="2" spans="2:9" ht="27.75" customHeight="1">
      <c r="B2" s="444" t="s">
        <v>358</v>
      </c>
      <c r="C2" s="445" t="s">
        <v>145</v>
      </c>
      <c r="D2" s="445" t="s">
        <v>63</v>
      </c>
      <c r="H2" s="447" t="s">
        <v>365</v>
      </c>
      <c r="I2" s="447"/>
    </row>
    <row r="3" spans="1:12" ht="34.5" customHeight="1">
      <c r="A3" s="18"/>
      <c r="B3" s="345">
        <v>1</v>
      </c>
      <c r="C3" s="195" t="s">
        <v>64</v>
      </c>
      <c r="D3" s="384" t="s">
        <v>263</v>
      </c>
      <c r="E3" s="384"/>
      <c r="F3" s="384"/>
      <c r="G3" s="384"/>
      <c r="H3" s="384"/>
      <c r="I3" s="384"/>
      <c r="J3" s="384"/>
      <c r="K3" s="384"/>
      <c r="L3" s="99"/>
    </row>
    <row r="4" spans="1:12" ht="0.75" customHeight="1">
      <c r="A4" s="18"/>
      <c r="B4" s="350"/>
      <c r="C4" s="347"/>
      <c r="D4" s="348"/>
      <c r="E4" s="348"/>
      <c r="F4" s="348"/>
      <c r="G4" s="348"/>
      <c r="H4" s="348"/>
      <c r="I4" s="348"/>
      <c r="J4" s="348"/>
      <c r="K4" s="348"/>
      <c r="L4" s="99"/>
    </row>
    <row r="5" spans="1:12" ht="0.75" customHeight="1">
      <c r="A5" s="18"/>
      <c r="B5" s="350"/>
      <c r="C5" s="347"/>
      <c r="D5" s="348"/>
      <c r="E5" s="348"/>
      <c r="F5" s="348"/>
      <c r="G5" s="348"/>
      <c r="H5" s="348"/>
      <c r="I5" s="348"/>
      <c r="J5" s="348"/>
      <c r="K5" s="348"/>
      <c r="L5" s="99"/>
    </row>
    <row r="6" spans="1:12" ht="0.75" customHeight="1">
      <c r="A6" s="18"/>
      <c r="B6" s="350"/>
      <c r="C6" s="347"/>
      <c r="D6" s="348"/>
      <c r="E6" s="348"/>
      <c r="F6" s="348"/>
      <c r="G6" s="348"/>
      <c r="H6" s="348"/>
      <c r="I6" s="348"/>
      <c r="J6" s="348"/>
      <c r="K6" s="348"/>
      <c r="L6" s="99"/>
    </row>
    <row r="7" spans="1:12" ht="0.75" customHeight="1">
      <c r="A7" s="18"/>
      <c r="B7" s="350"/>
      <c r="C7" s="347"/>
      <c r="D7" s="348"/>
      <c r="E7" s="348"/>
      <c r="F7" s="348"/>
      <c r="G7" s="348"/>
      <c r="H7" s="348"/>
      <c r="I7" s="348"/>
      <c r="J7" s="348"/>
      <c r="K7" s="348"/>
      <c r="L7" s="99"/>
    </row>
    <row r="8" spans="1:12" ht="53.25" customHeight="1">
      <c r="A8" s="18"/>
      <c r="B8" s="350">
        <v>2</v>
      </c>
      <c r="C8" s="347" t="s">
        <v>148</v>
      </c>
      <c r="D8" s="355" t="s">
        <v>65</v>
      </c>
      <c r="E8" s="355"/>
      <c r="F8" s="355"/>
      <c r="G8" s="355"/>
      <c r="H8" s="355"/>
      <c r="I8" s="355"/>
      <c r="J8" s="355"/>
      <c r="K8" s="355"/>
      <c r="L8" s="99"/>
    </row>
    <row r="9" spans="1:12" ht="0.75" customHeight="1">
      <c r="A9" s="18"/>
      <c r="B9" s="350"/>
      <c r="C9" s="347"/>
      <c r="D9" s="344"/>
      <c r="E9" s="344"/>
      <c r="F9" s="344"/>
      <c r="G9" s="344"/>
      <c r="H9" s="344"/>
      <c r="I9" s="344"/>
      <c r="J9" s="344"/>
      <c r="K9" s="344"/>
      <c r="L9" s="99"/>
    </row>
    <row r="10" spans="1:12" ht="0.75" customHeight="1">
      <c r="A10" s="18"/>
      <c r="B10" s="350"/>
      <c r="C10" s="347"/>
      <c r="D10" s="344"/>
      <c r="E10" s="344"/>
      <c r="F10" s="344"/>
      <c r="G10" s="344"/>
      <c r="H10" s="344"/>
      <c r="I10" s="344"/>
      <c r="J10" s="344"/>
      <c r="K10" s="344"/>
      <c r="L10" s="99"/>
    </row>
    <row r="11" spans="1:12" ht="0.75" customHeight="1">
      <c r="A11" s="18"/>
      <c r="B11" s="350"/>
      <c r="C11" s="347"/>
      <c r="D11" s="344"/>
      <c r="E11" s="344"/>
      <c r="F11" s="344"/>
      <c r="G11" s="344"/>
      <c r="H11" s="344"/>
      <c r="I11" s="344"/>
      <c r="J11" s="344"/>
      <c r="K11" s="344"/>
      <c r="L11" s="99"/>
    </row>
    <row r="12" spans="1:12" ht="0.75" customHeight="1">
      <c r="A12" s="18"/>
      <c r="B12" s="350"/>
      <c r="C12" s="347"/>
      <c r="D12" s="348"/>
      <c r="E12" s="348"/>
      <c r="F12" s="348"/>
      <c r="G12" s="348"/>
      <c r="H12" s="348"/>
      <c r="I12" s="348"/>
      <c r="J12" s="348"/>
      <c r="K12" s="348"/>
      <c r="L12" s="99"/>
    </row>
    <row r="13" spans="1:11" ht="41.25" customHeight="1">
      <c r="A13" s="18"/>
      <c r="B13" s="350">
        <v>3</v>
      </c>
      <c r="C13" s="353" t="s">
        <v>46</v>
      </c>
      <c r="D13" s="381" t="s">
        <v>264</v>
      </c>
      <c r="E13" s="381"/>
      <c r="F13" s="381"/>
      <c r="G13" s="381"/>
      <c r="H13" s="381"/>
      <c r="I13" s="381"/>
      <c r="J13" s="381"/>
      <c r="K13" s="381"/>
    </row>
    <row r="14" spans="1:11" ht="0.75" customHeight="1">
      <c r="A14" s="18"/>
      <c r="B14" s="350"/>
      <c r="C14" s="353"/>
      <c r="D14" s="348"/>
      <c r="E14" s="348"/>
      <c r="F14" s="348"/>
      <c r="G14" s="348"/>
      <c r="H14" s="348"/>
      <c r="I14" s="348"/>
      <c r="J14" s="348"/>
      <c r="K14" s="348"/>
    </row>
    <row r="15" spans="1:11" ht="0.75" customHeight="1">
      <c r="A15" s="18"/>
      <c r="B15" s="350"/>
      <c r="C15" s="353"/>
      <c r="D15" s="348"/>
      <c r="E15" s="348"/>
      <c r="F15" s="348"/>
      <c r="G15" s="348"/>
      <c r="H15" s="348"/>
      <c r="I15" s="348"/>
      <c r="J15" s="348"/>
      <c r="K15" s="348"/>
    </row>
    <row r="16" spans="1:11" ht="0.75" customHeight="1">
      <c r="A16" s="18"/>
      <c r="B16" s="350"/>
      <c r="C16" s="347"/>
      <c r="D16" s="348"/>
      <c r="E16" s="348"/>
      <c r="F16" s="348"/>
      <c r="G16" s="348"/>
      <c r="H16" s="348"/>
      <c r="I16" s="348"/>
      <c r="J16" s="348"/>
      <c r="K16" s="348"/>
    </row>
    <row r="17" spans="1:11" ht="12.75">
      <c r="A17" s="18"/>
      <c r="B17" s="473">
        <v>4</v>
      </c>
      <c r="C17" s="353" t="s">
        <v>67</v>
      </c>
      <c r="D17" s="381" t="s">
        <v>68</v>
      </c>
      <c r="E17" s="381"/>
      <c r="F17" s="381"/>
      <c r="G17" s="381"/>
      <c r="H17" s="381"/>
      <c r="I17" s="381"/>
      <c r="J17" s="381"/>
      <c r="K17" s="381"/>
    </row>
    <row r="18" spans="1:11" ht="41.25" customHeight="1">
      <c r="A18" s="18"/>
      <c r="B18" s="473"/>
      <c r="C18" s="353"/>
      <c r="D18" s="381" t="s">
        <v>69</v>
      </c>
      <c r="E18" s="381"/>
      <c r="F18" s="381"/>
      <c r="G18" s="381"/>
      <c r="H18" s="381"/>
      <c r="I18" s="381"/>
      <c r="J18" s="381"/>
      <c r="K18" s="381"/>
    </row>
    <row r="19" spans="1:11" ht="41.25" customHeight="1">
      <c r="A19" s="18"/>
      <c r="B19" s="473"/>
      <c r="C19" s="353"/>
      <c r="D19" s="381" t="s">
        <v>239</v>
      </c>
      <c r="E19" s="381"/>
      <c r="F19" s="381"/>
      <c r="G19" s="381"/>
      <c r="H19" s="381"/>
      <c r="I19" s="381"/>
      <c r="J19" s="381"/>
      <c r="K19" s="381"/>
    </row>
    <row r="20" spans="1:11" ht="0.75" customHeight="1">
      <c r="A20" s="18"/>
      <c r="B20" s="351"/>
      <c r="C20" s="347"/>
      <c r="D20" s="348"/>
      <c r="E20" s="348"/>
      <c r="F20" s="348"/>
      <c r="G20" s="348"/>
      <c r="H20" s="348"/>
      <c r="I20" s="348"/>
      <c r="J20" s="348"/>
      <c r="K20" s="348"/>
    </row>
    <row r="21" spans="1:11" ht="0.75" customHeight="1">
      <c r="A21" s="18"/>
      <c r="B21" s="351"/>
      <c r="C21" s="347"/>
      <c r="D21" s="348"/>
      <c r="E21" s="348"/>
      <c r="F21" s="348"/>
      <c r="G21" s="348"/>
      <c r="H21" s="348"/>
      <c r="I21" s="348"/>
      <c r="J21" s="348"/>
      <c r="K21" s="348"/>
    </row>
    <row r="22" spans="1:11" ht="0.75" customHeight="1">
      <c r="A22" s="18"/>
      <c r="B22" s="351"/>
      <c r="C22" s="347"/>
      <c r="D22" s="348"/>
      <c r="E22" s="348"/>
      <c r="F22" s="348"/>
      <c r="G22" s="348"/>
      <c r="H22" s="348"/>
      <c r="I22" s="348"/>
      <c r="J22" s="348"/>
      <c r="K22" s="348"/>
    </row>
    <row r="23" spans="1:11" ht="0.75" customHeight="1">
      <c r="A23" s="18"/>
      <c r="B23" s="351"/>
      <c r="C23" s="347"/>
      <c r="D23" s="348"/>
      <c r="E23" s="348"/>
      <c r="F23" s="348"/>
      <c r="G23" s="348"/>
      <c r="H23" s="348"/>
      <c r="I23" s="348"/>
      <c r="J23" s="348"/>
      <c r="K23" s="348"/>
    </row>
    <row r="24" spans="1:11" ht="0.75" customHeight="1">
      <c r="A24" s="18"/>
      <c r="B24" s="350"/>
      <c r="C24" s="347"/>
      <c r="D24" s="348"/>
      <c r="E24" s="348"/>
      <c r="F24" s="348"/>
      <c r="G24" s="348"/>
      <c r="H24" s="348"/>
      <c r="I24" s="348"/>
      <c r="J24" s="348"/>
      <c r="K24" s="348"/>
    </row>
    <row r="25" spans="1:11" ht="41.25" customHeight="1">
      <c r="A25" s="18"/>
      <c r="B25" s="385">
        <v>5</v>
      </c>
      <c r="C25" s="353" t="s">
        <v>70</v>
      </c>
      <c r="D25" s="381" t="s">
        <v>71</v>
      </c>
      <c r="E25" s="381"/>
      <c r="F25" s="381"/>
      <c r="G25" s="381"/>
      <c r="H25" s="381"/>
      <c r="I25" s="381"/>
      <c r="J25" s="381"/>
      <c r="K25" s="381"/>
    </row>
    <row r="26" spans="1:11" ht="41.25" customHeight="1">
      <c r="A26" s="18"/>
      <c r="B26" s="385"/>
      <c r="C26" s="353"/>
      <c r="D26" s="381" t="s">
        <v>72</v>
      </c>
      <c r="E26" s="381"/>
      <c r="F26" s="381"/>
      <c r="G26" s="381"/>
      <c r="H26" s="381"/>
      <c r="I26" s="381"/>
      <c r="J26" s="381"/>
      <c r="K26" s="381"/>
    </row>
    <row r="27" spans="1:11" ht="0.75" customHeight="1">
      <c r="A27" s="18"/>
      <c r="B27" s="349"/>
      <c r="D27" s="349"/>
      <c r="E27" s="349"/>
      <c r="F27" s="349"/>
      <c r="G27" s="349"/>
      <c r="H27" s="349"/>
      <c r="I27" s="349"/>
      <c r="J27" s="349"/>
      <c r="K27" s="349"/>
    </row>
    <row r="28" spans="1:11" ht="0.75" customHeight="1">
      <c r="A28" s="18"/>
      <c r="B28" s="349"/>
      <c r="D28" s="349"/>
      <c r="E28" s="349"/>
      <c r="F28" s="349"/>
      <c r="G28" s="349"/>
      <c r="H28" s="349"/>
      <c r="I28" s="349"/>
      <c r="J28" s="349"/>
      <c r="K28" s="349"/>
    </row>
    <row r="29" spans="1:11" ht="0.75" customHeight="1">
      <c r="A29" s="18"/>
      <c r="B29" s="349"/>
      <c r="D29" s="349"/>
      <c r="E29" s="349"/>
      <c r="F29" s="349"/>
      <c r="G29" s="349"/>
      <c r="H29" s="349"/>
      <c r="I29" s="349"/>
      <c r="J29" s="349"/>
      <c r="K29" s="349"/>
    </row>
    <row r="30" spans="1:11" ht="16.5" customHeight="1">
      <c r="A30" s="18"/>
      <c r="B30" s="385">
        <v>6</v>
      </c>
      <c r="C30" s="353" t="s">
        <v>53</v>
      </c>
      <c r="D30" s="381" t="s">
        <v>136</v>
      </c>
      <c r="E30" s="381"/>
      <c r="F30" s="381"/>
      <c r="G30" s="381"/>
      <c r="H30" s="381"/>
      <c r="I30" s="381"/>
      <c r="J30" s="381"/>
      <c r="K30" s="381"/>
    </row>
    <row r="31" spans="1:11" ht="15" customHeight="1">
      <c r="A31" s="18"/>
      <c r="B31" s="385"/>
      <c r="C31" s="353"/>
      <c r="D31" s="381" t="s">
        <v>325</v>
      </c>
      <c r="E31" s="381"/>
      <c r="F31" s="381"/>
      <c r="G31" s="381"/>
      <c r="H31" s="381"/>
      <c r="I31" s="381"/>
      <c r="J31" s="381"/>
      <c r="K31" s="381"/>
    </row>
    <row r="32" spans="1:11" ht="18" customHeight="1">
      <c r="A32" s="18"/>
      <c r="B32" s="385"/>
      <c r="C32" s="353"/>
      <c r="D32" s="381" t="s">
        <v>73</v>
      </c>
      <c r="E32" s="381"/>
      <c r="F32" s="381"/>
      <c r="G32" s="381"/>
      <c r="H32" s="381"/>
      <c r="I32" s="381"/>
      <c r="J32" s="381"/>
      <c r="K32" s="381"/>
    </row>
    <row r="33" spans="1:11" ht="27.75" customHeight="1">
      <c r="A33" s="18"/>
      <c r="B33" s="385"/>
      <c r="C33" s="353"/>
      <c r="D33" s="381" t="s">
        <v>89</v>
      </c>
      <c r="E33" s="381"/>
      <c r="F33" s="381"/>
      <c r="G33" s="381"/>
      <c r="H33" s="381"/>
      <c r="I33" s="381"/>
      <c r="J33" s="381"/>
      <c r="K33" s="381"/>
    </row>
    <row r="34" spans="1:11" ht="0.75" customHeight="1">
      <c r="A34" s="18"/>
      <c r="B34" s="349"/>
      <c r="D34" s="349"/>
      <c r="E34" s="349"/>
      <c r="F34" s="349"/>
      <c r="G34" s="349"/>
      <c r="H34" s="349"/>
      <c r="I34" s="349"/>
      <c r="J34" s="349"/>
      <c r="K34" s="349"/>
    </row>
    <row r="35" spans="1:11" ht="0.75" customHeight="1">
      <c r="A35" s="18"/>
      <c r="B35" s="349"/>
      <c r="D35" s="349"/>
      <c r="E35" s="349"/>
      <c r="F35" s="349"/>
      <c r="G35" s="349"/>
      <c r="H35" s="349"/>
      <c r="I35" s="349"/>
      <c r="J35" s="349"/>
      <c r="K35" s="349"/>
    </row>
    <row r="36" spans="1:11" ht="0.75" customHeight="1">
      <c r="A36" s="18"/>
      <c r="B36" s="349"/>
      <c r="D36" s="349"/>
      <c r="E36" s="349"/>
      <c r="F36" s="349"/>
      <c r="G36" s="349"/>
      <c r="H36" s="349"/>
      <c r="I36" s="349"/>
      <c r="J36" s="349"/>
      <c r="K36" s="349"/>
    </row>
    <row r="37" spans="1:11" ht="0.75" customHeight="1">
      <c r="A37" s="18"/>
      <c r="B37" s="349"/>
      <c r="D37" s="349"/>
      <c r="E37" s="349"/>
      <c r="F37" s="349"/>
      <c r="G37" s="349"/>
      <c r="H37" s="349"/>
      <c r="I37" s="349"/>
      <c r="J37" s="349"/>
      <c r="K37" s="349"/>
    </row>
    <row r="38" spans="1:11" ht="0.75" customHeight="1">
      <c r="A38" s="18"/>
      <c r="B38" s="349"/>
      <c r="D38" s="349"/>
      <c r="E38" s="349"/>
      <c r="F38" s="349"/>
      <c r="G38" s="349"/>
      <c r="H38" s="349"/>
      <c r="I38" s="349"/>
      <c r="J38" s="349"/>
      <c r="K38" s="349"/>
    </row>
    <row r="39" spans="1:11" ht="0.75" customHeight="1">
      <c r="A39" s="18"/>
      <c r="B39" s="349"/>
      <c r="D39" s="349"/>
      <c r="E39" s="349"/>
      <c r="F39" s="349"/>
      <c r="G39" s="349"/>
      <c r="H39" s="349"/>
      <c r="I39" s="349"/>
      <c r="J39" s="349"/>
      <c r="K39" s="349"/>
    </row>
    <row r="40" spans="1:11" ht="0.75" customHeight="1">
      <c r="A40" s="18"/>
      <c r="B40" s="349"/>
      <c r="D40" s="349"/>
      <c r="E40" s="349"/>
      <c r="F40" s="349"/>
      <c r="G40" s="349"/>
      <c r="H40" s="349"/>
      <c r="I40" s="349"/>
      <c r="J40" s="349"/>
      <c r="K40" s="349"/>
    </row>
    <row r="41" spans="1:11" ht="0.75" customHeight="1">
      <c r="A41" s="18"/>
      <c r="B41" s="349"/>
      <c r="D41" s="349"/>
      <c r="E41" s="349"/>
      <c r="F41" s="349"/>
      <c r="G41" s="349"/>
      <c r="H41" s="349"/>
      <c r="I41" s="349"/>
      <c r="J41" s="349"/>
      <c r="K41" s="349"/>
    </row>
    <row r="42" spans="1:11" ht="0.75" customHeight="1">
      <c r="A42" s="18"/>
      <c r="B42" s="349"/>
      <c r="D42" s="349"/>
      <c r="E42" s="349"/>
      <c r="F42" s="349"/>
      <c r="G42" s="349"/>
      <c r="H42" s="349"/>
      <c r="I42" s="349"/>
      <c r="J42" s="349"/>
      <c r="K42" s="349"/>
    </row>
    <row r="43" spans="1:11" ht="0.75" customHeight="1">
      <c r="A43" s="18"/>
      <c r="B43" s="349"/>
      <c r="D43" s="349"/>
      <c r="E43" s="349"/>
      <c r="F43" s="349"/>
      <c r="G43" s="349"/>
      <c r="H43" s="349"/>
      <c r="I43" s="349"/>
      <c r="J43" s="349"/>
      <c r="K43" s="349"/>
    </row>
    <row r="44" spans="1:11" ht="0.75" customHeight="1">
      <c r="A44" s="18"/>
      <c r="B44" s="349"/>
      <c r="D44" s="349"/>
      <c r="E44" s="349"/>
      <c r="F44" s="349"/>
      <c r="G44" s="349"/>
      <c r="H44" s="349"/>
      <c r="I44" s="349"/>
      <c r="J44" s="349"/>
      <c r="K44" s="349"/>
    </row>
    <row r="45" spans="1:11" ht="0.75" customHeight="1">
      <c r="A45" s="18"/>
      <c r="B45" s="349"/>
      <c r="D45" s="349"/>
      <c r="E45" s="349"/>
      <c r="F45" s="349"/>
      <c r="G45" s="349"/>
      <c r="H45" s="349"/>
      <c r="I45" s="349"/>
      <c r="J45" s="349"/>
      <c r="K45" s="349"/>
    </row>
    <row r="46" spans="1:11" ht="0.75" customHeight="1">
      <c r="A46" s="18"/>
      <c r="B46" s="349"/>
      <c r="D46" s="349"/>
      <c r="E46" s="349"/>
      <c r="F46" s="349"/>
      <c r="G46" s="349"/>
      <c r="H46" s="349"/>
      <c r="I46" s="349"/>
      <c r="J46" s="349"/>
      <c r="K46" s="349"/>
    </row>
    <row r="47" spans="1:11" ht="0.75" customHeight="1">
      <c r="A47" s="18"/>
      <c r="B47" s="349"/>
      <c r="D47" s="349"/>
      <c r="E47" s="349"/>
      <c r="F47" s="349"/>
      <c r="G47" s="349"/>
      <c r="H47" s="349"/>
      <c r="I47" s="349"/>
      <c r="J47" s="349"/>
      <c r="K47" s="349"/>
    </row>
    <row r="48" spans="1:11" ht="5.25" customHeight="1">
      <c r="A48" s="18"/>
      <c r="B48" s="349"/>
      <c r="D48" s="349"/>
      <c r="E48" s="349"/>
      <c r="F48" s="349"/>
      <c r="G48" s="349"/>
      <c r="H48" s="349"/>
      <c r="I48" s="349"/>
      <c r="J48" s="349"/>
      <c r="K48" s="349"/>
    </row>
    <row r="49" spans="1:11" ht="16.5" customHeight="1">
      <c r="A49" s="18"/>
      <c r="B49" s="385">
        <v>7</v>
      </c>
      <c r="C49" s="353" t="s">
        <v>54</v>
      </c>
      <c r="D49" s="381" t="s">
        <v>346</v>
      </c>
      <c r="E49" s="381"/>
      <c r="F49" s="381"/>
      <c r="G49" s="381"/>
      <c r="H49" s="381"/>
      <c r="I49" s="381"/>
      <c r="J49" s="381"/>
      <c r="K49" s="381"/>
    </row>
    <row r="50" spans="1:11" ht="34.5" customHeight="1">
      <c r="A50" s="18"/>
      <c r="B50" s="385"/>
      <c r="C50" s="353"/>
      <c r="D50" s="381" t="s">
        <v>326</v>
      </c>
      <c r="E50" s="381"/>
      <c r="F50" s="381"/>
      <c r="G50" s="381"/>
      <c r="H50" s="381"/>
      <c r="I50" s="381"/>
      <c r="J50" s="381"/>
      <c r="K50" s="381"/>
    </row>
    <row r="51" spans="1:11" ht="0.75" customHeight="1">
      <c r="A51" s="18"/>
      <c r="B51" s="350"/>
      <c r="C51" s="347"/>
      <c r="D51" s="348"/>
      <c r="E51" s="348"/>
      <c r="F51" s="348"/>
      <c r="G51" s="348"/>
      <c r="H51" s="348"/>
      <c r="I51" s="348"/>
      <c r="J51" s="348"/>
      <c r="K51" s="348"/>
    </row>
    <row r="52" spans="1:11" ht="0.75" customHeight="1">
      <c r="A52" s="18"/>
      <c r="B52" s="350"/>
      <c r="C52" s="347"/>
      <c r="D52" s="348"/>
      <c r="E52" s="348"/>
      <c r="F52" s="348"/>
      <c r="G52" s="348"/>
      <c r="H52" s="348"/>
      <c r="I52" s="348"/>
      <c r="J52" s="348"/>
      <c r="K52" s="348"/>
    </row>
    <row r="53" spans="1:11" ht="0.75" customHeight="1">
      <c r="A53" s="18"/>
      <c r="B53" s="350"/>
      <c r="C53" s="347"/>
      <c r="D53" s="348"/>
      <c r="E53" s="348"/>
      <c r="F53" s="348"/>
      <c r="G53" s="348"/>
      <c r="H53" s="348"/>
      <c r="I53" s="348"/>
      <c r="J53" s="348"/>
      <c r="K53" s="348"/>
    </row>
    <row r="54" spans="1:11" ht="0.75" customHeight="1">
      <c r="A54" s="18"/>
      <c r="B54" s="350"/>
      <c r="C54" s="347"/>
      <c r="D54" s="348"/>
      <c r="E54" s="348"/>
      <c r="F54" s="348"/>
      <c r="G54" s="348"/>
      <c r="H54" s="348"/>
      <c r="I54" s="348"/>
      <c r="J54" s="348"/>
      <c r="K54" s="348"/>
    </row>
    <row r="55" spans="1:11" ht="12.75">
      <c r="A55" s="18"/>
      <c r="B55" s="385">
        <v>8</v>
      </c>
      <c r="C55" s="353" t="s">
        <v>234</v>
      </c>
      <c r="D55" s="381" t="s">
        <v>265</v>
      </c>
      <c r="E55" s="381"/>
      <c r="F55" s="381"/>
      <c r="G55" s="381"/>
      <c r="H55" s="381"/>
      <c r="I55" s="381"/>
      <c r="J55" s="381"/>
      <c r="K55" s="381"/>
    </row>
    <row r="56" spans="1:11" ht="21" customHeight="1">
      <c r="A56" s="18"/>
      <c r="B56" s="385"/>
      <c r="C56" s="353"/>
      <c r="D56" s="381" t="s">
        <v>87</v>
      </c>
      <c r="E56" s="381"/>
      <c r="F56" s="381"/>
      <c r="G56" s="381"/>
      <c r="H56" s="381"/>
      <c r="I56" s="381"/>
      <c r="J56" s="381"/>
      <c r="K56" s="381"/>
    </row>
    <row r="57" spans="1:11" ht="12.75">
      <c r="A57" s="18"/>
      <c r="B57" s="350"/>
      <c r="C57" s="347"/>
      <c r="D57" s="381" t="s">
        <v>132</v>
      </c>
      <c r="E57" s="381"/>
      <c r="F57" s="381"/>
      <c r="G57" s="381"/>
      <c r="H57" s="381"/>
      <c r="I57" s="381"/>
      <c r="J57" s="381"/>
      <c r="K57" s="381"/>
    </row>
    <row r="58" spans="1:11" ht="13.5" thickBot="1">
      <c r="A58" s="18"/>
      <c r="B58" s="350"/>
      <c r="C58" s="347"/>
      <c r="D58" s="348"/>
      <c r="E58" s="348"/>
      <c r="F58" s="348"/>
      <c r="G58" s="348"/>
      <c r="H58" s="348"/>
      <c r="I58" s="348"/>
      <c r="J58" s="348"/>
      <c r="K58" s="111"/>
    </row>
    <row r="59" spans="1:11" ht="18" customHeight="1" thickBot="1">
      <c r="A59" s="18"/>
      <c r="B59" s="349"/>
      <c r="D59" s="352" t="s">
        <v>151</v>
      </c>
      <c r="E59" s="377">
        <v>300</v>
      </c>
      <c r="F59" s="378" t="s">
        <v>154</v>
      </c>
      <c r="G59" s="379">
        <v>4</v>
      </c>
      <c r="H59" s="378" t="s">
        <v>149</v>
      </c>
      <c r="I59" s="378" t="s">
        <v>150</v>
      </c>
      <c r="J59" s="380">
        <f>IF(G59=0,0,E59/G59)</f>
        <v>75</v>
      </c>
      <c r="K59" s="99"/>
    </row>
    <row r="60" spans="1:10" ht="18" customHeight="1" thickBot="1">
      <c r="A60" s="18"/>
      <c r="B60" s="349"/>
      <c r="D60" s="356" t="s">
        <v>153</v>
      </c>
      <c r="E60" s="386">
        <v>100</v>
      </c>
      <c r="F60" s="387" t="s">
        <v>154</v>
      </c>
      <c r="G60" s="388">
        <f>G59</f>
        <v>4</v>
      </c>
      <c r="H60" s="387" t="s">
        <v>149</v>
      </c>
      <c r="I60" s="387" t="s">
        <v>150</v>
      </c>
      <c r="J60" s="380">
        <f>IF(G60=0,0,E60/G60)</f>
        <v>25</v>
      </c>
    </row>
    <row r="61" spans="1:10" ht="18" customHeight="1">
      <c r="A61" s="18"/>
      <c r="B61" s="349"/>
      <c r="D61" s="357"/>
      <c r="E61" s="389"/>
      <c r="F61" s="387" t="s">
        <v>154</v>
      </c>
      <c r="G61" s="388">
        <f>G60</f>
        <v>4</v>
      </c>
      <c r="H61" s="387" t="s">
        <v>149</v>
      </c>
      <c r="I61" s="387" t="s">
        <v>150</v>
      </c>
      <c r="J61" s="380">
        <f>IF(G61=0,0,E61/G61)</f>
        <v>0</v>
      </c>
    </row>
    <row r="62" spans="1:11" ht="18" customHeight="1" thickBot="1">
      <c r="A62" s="18"/>
      <c r="B62" s="349"/>
      <c r="D62" s="358" t="s">
        <v>155</v>
      </c>
      <c r="E62" s="390">
        <f>E59+E60</f>
        <v>400</v>
      </c>
      <c r="F62" s="391"/>
      <c r="G62" s="392"/>
      <c r="H62" s="391"/>
      <c r="I62" s="391"/>
      <c r="J62" s="393">
        <f>J59+J60+J61</f>
        <v>100</v>
      </c>
      <c r="K62" s="99" t="s">
        <v>152</v>
      </c>
    </row>
    <row r="63" spans="1:11" ht="12.75">
      <c r="A63" s="18"/>
      <c r="B63" s="349"/>
      <c r="D63" s="349"/>
      <c r="E63" s="349"/>
      <c r="F63" s="349"/>
      <c r="G63" s="349"/>
      <c r="H63" s="349"/>
      <c r="I63" s="349"/>
      <c r="J63" s="349"/>
      <c r="K63" s="18"/>
    </row>
    <row r="64" spans="1:11" ht="0.75" customHeight="1">
      <c r="A64" s="18"/>
      <c r="B64" s="349"/>
      <c r="D64" s="349"/>
      <c r="E64" s="349"/>
      <c r="F64" s="349"/>
      <c r="G64" s="349"/>
      <c r="H64" s="349"/>
      <c r="I64" s="349"/>
      <c r="J64" s="349"/>
      <c r="K64" s="18"/>
    </row>
    <row r="65" spans="1:11" ht="0.75" customHeight="1">
      <c r="A65" s="18"/>
      <c r="B65" s="349"/>
      <c r="D65" s="349"/>
      <c r="E65" s="349"/>
      <c r="F65" s="349"/>
      <c r="G65" s="349"/>
      <c r="H65" s="349"/>
      <c r="I65" s="349"/>
      <c r="J65" s="349"/>
      <c r="K65" s="18"/>
    </row>
    <row r="66" spans="1:11" ht="0.75" customHeight="1">
      <c r="A66" s="18"/>
      <c r="B66" s="349"/>
      <c r="D66" s="349"/>
      <c r="E66" s="349"/>
      <c r="F66" s="349"/>
      <c r="G66" s="349"/>
      <c r="H66" s="349"/>
      <c r="I66" s="349"/>
      <c r="J66" s="349"/>
      <c r="K66" s="18"/>
    </row>
    <row r="67" spans="1:11" ht="0.75" customHeight="1">
      <c r="A67" s="18"/>
      <c r="B67" s="349"/>
      <c r="D67" s="349"/>
      <c r="E67" s="349"/>
      <c r="F67" s="349"/>
      <c r="G67" s="349"/>
      <c r="H67" s="349"/>
      <c r="I67" s="349"/>
      <c r="J67" s="349"/>
      <c r="K67" s="18"/>
    </row>
    <row r="68" spans="1:11" ht="0.75" customHeight="1">
      <c r="A68" s="18"/>
      <c r="B68" s="349"/>
      <c r="D68" s="349"/>
      <c r="E68" s="349"/>
      <c r="F68" s="349"/>
      <c r="G68" s="349"/>
      <c r="H68" s="349"/>
      <c r="I68" s="349"/>
      <c r="J68" s="349"/>
      <c r="K68" s="18"/>
    </row>
    <row r="69" spans="1:11" ht="19.5" customHeight="1">
      <c r="A69" s="18"/>
      <c r="B69" s="385">
        <v>9</v>
      </c>
      <c r="C69" s="353" t="s">
        <v>74</v>
      </c>
      <c r="D69" s="381" t="s">
        <v>75</v>
      </c>
      <c r="E69" s="381"/>
      <c r="F69" s="381"/>
      <c r="G69" s="381"/>
      <c r="H69" s="381"/>
      <c r="I69" s="381"/>
      <c r="J69" s="381"/>
      <c r="K69" s="381"/>
    </row>
    <row r="70" spans="1:11" ht="20.25" customHeight="1">
      <c r="A70" s="18"/>
      <c r="B70" s="385"/>
      <c r="C70" s="353"/>
      <c r="D70" s="381" t="s">
        <v>76</v>
      </c>
      <c r="E70" s="381"/>
      <c r="F70" s="381"/>
      <c r="G70" s="381"/>
      <c r="H70" s="381"/>
      <c r="I70" s="381"/>
      <c r="J70" s="381"/>
      <c r="K70" s="381"/>
    </row>
    <row r="71" spans="1:11" ht="20.25" customHeight="1">
      <c r="A71" s="18"/>
      <c r="B71" s="350"/>
      <c r="C71" s="347"/>
      <c r="D71" s="381" t="s">
        <v>78</v>
      </c>
      <c r="E71" s="381"/>
      <c r="F71" s="381"/>
      <c r="G71" s="381"/>
      <c r="H71" s="381"/>
      <c r="I71" s="381"/>
      <c r="J71" s="381"/>
      <c r="K71" s="381"/>
    </row>
    <row r="72" spans="1:11" ht="0.75" customHeight="1">
      <c r="A72" s="18"/>
      <c r="B72" s="350"/>
      <c r="C72" s="347"/>
      <c r="D72" s="348"/>
      <c r="E72" s="348"/>
      <c r="F72" s="348"/>
      <c r="G72" s="348"/>
      <c r="H72" s="348"/>
      <c r="I72" s="348"/>
      <c r="J72" s="348"/>
      <c r="K72" s="348"/>
    </row>
    <row r="73" spans="1:11" ht="0.75" customHeight="1">
      <c r="A73" s="18"/>
      <c r="B73" s="350"/>
      <c r="C73" s="347"/>
      <c r="D73" s="348"/>
      <c r="E73" s="348"/>
      <c r="F73" s="348"/>
      <c r="G73" s="348"/>
      <c r="H73" s="348"/>
      <c r="I73" s="348"/>
      <c r="J73" s="348"/>
      <c r="K73" s="348"/>
    </row>
    <row r="74" spans="1:11" ht="0.75" customHeight="1">
      <c r="A74" s="18"/>
      <c r="B74" s="350"/>
      <c r="C74" s="347"/>
      <c r="D74" s="348"/>
      <c r="E74" s="348"/>
      <c r="F74" s="348"/>
      <c r="G74" s="348"/>
      <c r="H74" s="348"/>
      <c r="I74" s="348"/>
      <c r="J74" s="348"/>
      <c r="K74" s="348"/>
    </row>
    <row r="75" spans="1:11" ht="0.75" customHeight="1">
      <c r="A75" s="18"/>
      <c r="B75" s="350"/>
      <c r="C75" s="347"/>
      <c r="D75" s="348"/>
      <c r="E75" s="348"/>
      <c r="F75" s="348"/>
      <c r="G75" s="348"/>
      <c r="H75" s="348"/>
      <c r="I75" s="348"/>
      <c r="J75" s="348"/>
      <c r="K75" s="348"/>
    </row>
    <row r="76" spans="1:11" ht="0.75" customHeight="1">
      <c r="A76" s="18"/>
      <c r="B76" s="350"/>
      <c r="C76" s="347"/>
      <c r="D76" s="348"/>
      <c r="E76" s="348"/>
      <c r="F76" s="348"/>
      <c r="G76" s="348"/>
      <c r="H76" s="348"/>
      <c r="I76" s="348"/>
      <c r="J76" s="348"/>
      <c r="K76" s="348"/>
    </row>
    <row r="77" spans="1:11" ht="27.75" customHeight="1">
      <c r="A77" s="18"/>
      <c r="B77" s="350">
        <v>10</v>
      </c>
      <c r="C77" s="353" t="s">
        <v>235</v>
      </c>
      <c r="D77" s="381" t="s">
        <v>85</v>
      </c>
      <c r="E77" s="381"/>
      <c r="F77" s="381"/>
      <c r="G77" s="381"/>
      <c r="H77" s="381"/>
      <c r="I77" s="381"/>
      <c r="J77" s="381"/>
      <c r="K77" s="348"/>
    </row>
    <row r="78" spans="1:11" ht="0.75" customHeight="1">
      <c r="A78" s="18"/>
      <c r="B78" s="350"/>
      <c r="C78" s="353"/>
      <c r="D78" s="348"/>
      <c r="E78" s="348"/>
      <c r="F78" s="348"/>
      <c r="G78" s="348"/>
      <c r="H78" s="348"/>
      <c r="I78" s="348"/>
      <c r="J78" s="348"/>
      <c r="K78" s="348"/>
    </row>
    <row r="79" spans="1:11" ht="0.75" customHeight="1">
      <c r="A79" s="18"/>
      <c r="B79" s="350"/>
      <c r="C79" s="347"/>
      <c r="D79" s="348"/>
      <c r="E79" s="348"/>
      <c r="F79" s="348"/>
      <c r="G79" s="348"/>
      <c r="H79" s="348"/>
      <c r="I79" s="348"/>
      <c r="J79" s="348"/>
      <c r="K79" s="348"/>
    </row>
    <row r="80" spans="1:11" ht="0.75" customHeight="1">
      <c r="A80" s="18"/>
      <c r="B80" s="350"/>
      <c r="C80" s="347"/>
      <c r="D80" s="348"/>
      <c r="E80" s="348"/>
      <c r="F80" s="348"/>
      <c r="G80" s="348"/>
      <c r="H80" s="348"/>
      <c r="I80" s="348"/>
      <c r="J80" s="348"/>
      <c r="K80" s="348"/>
    </row>
    <row r="81" spans="1:11" ht="0.75" customHeight="1">
      <c r="A81" s="18"/>
      <c r="B81" s="350"/>
      <c r="C81" s="347"/>
      <c r="D81" s="348"/>
      <c r="E81" s="348"/>
      <c r="F81" s="348"/>
      <c r="G81" s="348"/>
      <c r="H81" s="348"/>
      <c r="I81" s="348"/>
      <c r="J81" s="348"/>
      <c r="K81" s="348"/>
    </row>
    <row r="82" spans="1:11" ht="0.75" customHeight="1">
      <c r="A82" s="18"/>
      <c r="B82" s="350"/>
      <c r="C82" s="347"/>
      <c r="D82" s="348"/>
      <c r="E82" s="348"/>
      <c r="F82" s="348"/>
      <c r="G82" s="348"/>
      <c r="H82" s="348"/>
      <c r="I82" s="348"/>
      <c r="J82" s="348"/>
      <c r="K82" s="348"/>
    </row>
    <row r="83" spans="1:11" ht="0.75" customHeight="1">
      <c r="A83" s="18"/>
      <c r="B83" s="350"/>
      <c r="C83" s="347"/>
      <c r="D83" s="348"/>
      <c r="E83" s="348"/>
      <c r="F83" s="348"/>
      <c r="G83" s="348"/>
      <c r="H83" s="348"/>
      <c r="I83" s="348"/>
      <c r="J83" s="348"/>
      <c r="K83" s="348"/>
    </row>
    <row r="84" spans="1:11" ht="0.75" customHeight="1">
      <c r="A84" s="18"/>
      <c r="B84" s="350"/>
      <c r="C84" s="347"/>
      <c r="D84" s="348"/>
      <c r="E84" s="348"/>
      <c r="F84" s="348"/>
      <c r="G84" s="348"/>
      <c r="H84" s="348"/>
      <c r="I84" s="348"/>
      <c r="J84" s="348"/>
      <c r="K84" s="348"/>
    </row>
    <row r="85" spans="1:11" ht="0.75" customHeight="1">
      <c r="A85" s="18"/>
      <c r="B85" s="350"/>
      <c r="C85" s="347"/>
      <c r="D85" s="348"/>
      <c r="E85" s="348"/>
      <c r="F85" s="348"/>
      <c r="G85" s="348"/>
      <c r="H85" s="348"/>
      <c r="I85" s="348"/>
      <c r="J85" s="348"/>
      <c r="K85" s="348"/>
    </row>
    <row r="86" spans="1:12" ht="15.75" customHeight="1">
      <c r="A86" s="18"/>
      <c r="B86" s="350">
        <v>11</v>
      </c>
      <c r="C86" s="347" t="s">
        <v>77</v>
      </c>
      <c r="D86" s="381" t="s">
        <v>137</v>
      </c>
      <c r="E86" s="381"/>
      <c r="F86" s="381"/>
      <c r="G86" s="381"/>
      <c r="H86" s="381"/>
      <c r="I86" s="381"/>
      <c r="J86" s="381"/>
      <c r="K86" s="381"/>
      <c r="L86" s="99"/>
    </row>
    <row r="87" spans="1:12" ht="0.75" customHeight="1">
      <c r="A87" s="18"/>
      <c r="B87" s="350"/>
      <c r="D87" s="349"/>
      <c r="E87" s="349"/>
      <c r="F87" s="349"/>
      <c r="G87" s="349"/>
      <c r="H87" s="349"/>
      <c r="I87" s="349"/>
      <c r="J87" s="349"/>
      <c r="K87" s="349"/>
      <c r="L87" s="99"/>
    </row>
    <row r="88" spans="1:12" ht="0.75" customHeight="1">
      <c r="A88" s="18"/>
      <c r="B88" s="350"/>
      <c r="D88" s="349"/>
      <c r="E88" s="349"/>
      <c r="F88" s="349"/>
      <c r="G88" s="349"/>
      <c r="H88" s="349"/>
      <c r="I88" s="349"/>
      <c r="J88" s="349"/>
      <c r="K88" s="349"/>
      <c r="L88" s="99"/>
    </row>
    <row r="89" spans="1:12" ht="0.75" customHeight="1">
      <c r="A89" s="18"/>
      <c r="B89" s="350"/>
      <c r="D89" s="349"/>
      <c r="E89" s="349"/>
      <c r="F89" s="349"/>
      <c r="G89" s="349"/>
      <c r="H89" s="349"/>
      <c r="I89" s="349"/>
      <c r="J89" s="349"/>
      <c r="K89" s="349"/>
      <c r="L89" s="99"/>
    </row>
    <row r="90" spans="1:12" ht="0.75" customHeight="1">
      <c r="A90" s="18"/>
      <c r="B90" s="350"/>
      <c r="D90" s="349"/>
      <c r="E90" s="349"/>
      <c r="F90" s="349"/>
      <c r="G90" s="349"/>
      <c r="H90" s="349"/>
      <c r="I90" s="349"/>
      <c r="J90" s="349"/>
      <c r="K90" s="349"/>
      <c r="L90" s="99"/>
    </row>
    <row r="91" spans="1:12" ht="0.75" customHeight="1">
      <c r="A91" s="18"/>
      <c r="B91" s="350"/>
      <c r="D91" s="349"/>
      <c r="E91" s="349"/>
      <c r="F91" s="349"/>
      <c r="G91" s="349"/>
      <c r="H91" s="349"/>
      <c r="I91" s="349"/>
      <c r="J91" s="349"/>
      <c r="K91" s="349"/>
      <c r="L91" s="99"/>
    </row>
    <row r="92" spans="1:12" ht="15.75" customHeight="1">
      <c r="A92" s="18"/>
      <c r="B92" s="350"/>
      <c r="D92" s="349"/>
      <c r="E92" s="349"/>
      <c r="F92" s="349"/>
      <c r="G92" s="349"/>
      <c r="H92" s="349"/>
      <c r="I92" s="349"/>
      <c r="J92" s="349"/>
      <c r="K92" s="349"/>
      <c r="L92" s="99"/>
    </row>
    <row r="93" spans="1:11" ht="12.75" customHeight="1">
      <c r="A93" s="18"/>
      <c r="B93" s="385">
        <v>12</v>
      </c>
      <c r="C93" s="353" t="s">
        <v>66</v>
      </c>
      <c r="D93" s="381" t="s">
        <v>268</v>
      </c>
      <c r="E93" s="381"/>
      <c r="F93" s="381"/>
      <c r="G93" s="381"/>
      <c r="H93" s="381"/>
      <c r="I93" s="381"/>
      <c r="J93" s="381"/>
      <c r="K93" s="381"/>
    </row>
    <row r="94" spans="1:11" ht="12.75">
      <c r="A94" s="18"/>
      <c r="B94" s="385"/>
      <c r="C94" s="353"/>
      <c r="D94" s="381" t="s">
        <v>266</v>
      </c>
      <c r="E94" s="381"/>
      <c r="F94" s="381"/>
      <c r="G94" s="381"/>
      <c r="H94" s="381"/>
      <c r="I94" s="381"/>
      <c r="J94" s="381"/>
      <c r="K94" s="381"/>
    </row>
    <row r="95" spans="1:11" ht="12.75">
      <c r="A95" s="18"/>
      <c r="B95" s="385"/>
      <c r="C95" s="353"/>
      <c r="D95" s="381" t="s">
        <v>267</v>
      </c>
      <c r="E95" s="381"/>
      <c r="F95" s="381"/>
      <c r="G95" s="381"/>
      <c r="H95" s="381"/>
      <c r="I95" s="381"/>
      <c r="J95" s="381"/>
      <c r="K95" s="381"/>
    </row>
    <row r="96" spans="1:11" ht="12.75">
      <c r="A96" s="18"/>
      <c r="B96" s="469"/>
      <c r="C96" s="353"/>
      <c r="D96" s="381"/>
      <c r="E96" s="381"/>
      <c r="F96" s="381"/>
      <c r="G96" s="381"/>
      <c r="H96" s="381"/>
      <c r="I96" s="381"/>
      <c r="J96" s="381"/>
      <c r="K96" s="381"/>
    </row>
    <row r="97" spans="1:11" ht="0.75" customHeight="1">
      <c r="A97" s="18"/>
      <c r="C97" s="343"/>
      <c r="D97" s="348"/>
      <c r="E97" s="348"/>
      <c r="F97" s="348"/>
      <c r="G97" s="348"/>
      <c r="H97" s="348"/>
      <c r="I97" s="348"/>
      <c r="J97" s="348"/>
      <c r="K97" s="348"/>
    </row>
    <row r="98" spans="1:11" ht="0.75" customHeight="1">
      <c r="A98" s="18"/>
      <c r="C98" s="343"/>
      <c r="D98" s="348"/>
      <c r="E98" s="348"/>
      <c r="F98" s="348"/>
      <c r="G98" s="348"/>
      <c r="H98" s="348"/>
      <c r="I98" s="348"/>
      <c r="J98" s="348"/>
      <c r="K98" s="348"/>
    </row>
    <row r="99" spans="1:11" ht="0.75" customHeight="1">
      <c r="A99" s="18"/>
      <c r="C99" s="343"/>
      <c r="D99" s="348"/>
      <c r="E99" s="348"/>
      <c r="F99" s="348"/>
      <c r="G99" s="348"/>
      <c r="H99" s="348"/>
      <c r="I99" s="348"/>
      <c r="J99" s="348"/>
      <c r="K99" s="348"/>
    </row>
    <row r="100" spans="1:11" ht="0.75" customHeight="1">
      <c r="A100" s="18"/>
      <c r="C100" s="343"/>
      <c r="D100" s="348"/>
      <c r="E100" s="348"/>
      <c r="F100" s="348"/>
      <c r="G100" s="348"/>
      <c r="H100" s="348"/>
      <c r="I100" s="348"/>
      <c r="J100" s="348"/>
      <c r="K100" s="348"/>
    </row>
    <row r="101" spans="1:11" ht="0.75" customHeight="1">
      <c r="A101" s="18"/>
      <c r="C101" s="343"/>
      <c r="D101" s="348"/>
      <c r="E101" s="348"/>
      <c r="F101" s="348"/>
      <c r="G101" s="348"/>
      <c r="H101" s="348"/>
      <c r="I101" s="348"/>
      <c r="J101" s="348"/>
      <c r="K101" s="348"/>
    </row>
    <row r="102" spans="1:11" ht="0.75" customHeight="1">
      <c r="A102" s="18"/>
      <c r="C102" s="343"/>
      <c r="D102" s="348"/>
      <c r="E102" s="348"/>
      <c r="F102" s="348"/>
      <c r="G102" s="348"/>
      <c r="H102" s="348"/>
      <c r="I102" s="348"/>
      <c r="J102" s="348"/>
      <c r="K102" s="348"/>
    </row>
    <row r="103" spans="1:11" ht="0.75" customHeight="1">
      <c r="A103" s="18"/>
      <c r="C103" s="343"/>
      <c r="D103" s="348"/>
      <c r="E103" s="348"/>
      <c r="F103" s="348"/>
      <c r="G103" s="348"/>
      <c r="H103" s="348"/>
      <c r="I103" s="348"/>
      <c r="J103" s="348"/>
      <c r="K103" s="348"/>
    </row>
    <row r="104" spans="1:11" ht="15.75" customHeight="1">
      <c r="A104" s="18"/>
      <c r="C104" s="351"/>
      <c r="D104" s="349"/>
      <c r="E104" s="349"/>
      <c r="F104" s="349"/>
      <c r="G104" s="349"/>
      <c r="H104" s="349"/>
      <c r="I104" s="349"/>
      <c r="J104" s="349"/>
      <c r="K104" s="349"/>
    </row>
    <row r="105" spans="1:11" ht="27" customHeight="1">
      <c r="A105" s="18"/>
      <c r="B105" s="342">
        <v>13</v>
      </c>
      <c r="C105" s="353" t="s">
        <v>211</v>
      </c>
      <c r="D105" s="381" t="s">
        <v>386</v>
      </c>
      <c r="E105" s="381"/>
      <c r="F105" s="381"/>
      <c r="G105" s="381"/>
      <c r="H105" s="381"/>
      <c r="I105" s="381"/>
      <c r="J105" s="381"/>
      <c r="K105" s="381"/>
    </row>
    <row r="106" spans="1:11" ht="27" customHeight="1">
      <c r="A106" s="18"/>
      <c r="C106" s="353" t="s">
        <v>212</v>
      </c>
      <c r="D106" s="472" t="s">
        <v>399</v>
      </c>
      <c r="E106" s="472"/>
      <c r="F106" s="472"/>
      <c r="G106" s="472"/>
      <c r="H106" s="472"/>
      <c r="I106" s="472"/>
      <c r="J106" s="472"/>
      <c r="K106" s="472"/>
    </row>
    <row r="107" spans="1:11" ht="4.5" customHeight="1">
      <c r="A107" s="18"/>
      <c r="C107" s="351"/>
      <c r="D107" s="348"/>
      <c r="E107" s="348"/>
      <c r="F107" s="348"/>
      <c r="G107" s="348"/>
      <c r="H107" s="348"/>
      <c r="I107" s="348"/>
      <c r="J107" s="348"/>
      <c r="K107" s="111"/>
    </row>
    <row r="108" spans="1:11" ht="37.5" customHeight="1">
      <c r="A108" s="18"/>
      <c r="C108" s="351"/>
      <c r="D108" s="383"/>
      <c r="E108" s="383"/>
      <c r="F108" s="383"/>
      <c r="G108" s="383"/>
      <c r="H108" s="383"/>
      <c r="I108" s="383"/>
      <c r="J108" s="383"/>
      <c r="K108" s="383"/>
    </row>
    <row r="109" spans="1:11" ht="40.5" customHeight="1">
      <c r="A109" s="18"/>
      <c r="C109" s="394"/>
      <c r="D109" s="383"/>
      <c r="E109" s="383"/>
      <c r="F109" s="383"/>
      <c r="G109" s="383"/>
      <c r="H109" s="383"/>
      <c r="I109" s="383"/>
      <c r="J109" s="383"/>
      <c r="K109" s="383"/>
    </row>
    <row r="110" spans="1:11" ht="5.25" customHeight="1">
      <c r="A110" s="18"/>
      <c r="D110" s="349"/>
      <c r="E110" s="349"/>
      <c r="F110" s="349"/>
      <c r="G110" s="349"/>
      <c r="H110" s="349"/>
      <c r="I110" s="349"/>
      <c r="J110" s="349"/>
      <c r="K110" s="18"/>
    </row>
    <row r="111" spans="1:11" ht="81.75" customHeight="1">
      <c r="A111" s="18"/>
      <c r="D111" s="349"/>
      <c r="E111" s="349"/>
      <c r="F111" s="349"/>
      <c r="G111" s="349"/>
      <c r="H111" s="349"/>
      <c r="I111" s="349"/>
      <c r="J111" s="349"/>
      <c r="K111" s="18"/>
    </row>
    <row r="112" spans="1:11" ht="5.25" customHeight="1">
      <c r="A112" s="18"/>
      <c r="B112" s="351"/>
      <c r="C112" s="347"/>
      <c r="D112" s="348"/>
      <c r="E112" s="348"/>
      <c r="F112" s="348"/>
      <c r="G112" s="348"/>
      <c r="H112" s="348"/>
      <c r="I112" s="348"/>
      <c r="J112" s="348"/>
      <c r="K112" s="111"/>
    </row>
    <row r="113" spans="1:23" ht="13.5" customHeight="1">
      <c r="A113" s="18"/>
      <c r="B113" s="351"/>
      <c r="C113" s="347"/>
      <c r="D113" s="384" t="s">
        <v>88</v>
      </c>
      <c r="E113" s="384"/>
      <c r="F113" s="384"/>
      <c r="G113" s="384"/>
      <c r="H113" s="384"/>
      <c r="I113" s="384"/>
      <c r="J113" s="384"/>
      <c r="K113" s="384"/>
      <c r="W113" t="s">
        <v>376</v>
      </c>
    </row>
    <row r="114" spans="1:11" ht="6" customHeight="1">
      <c r="A114" s="18"/>
      <c r="B114" s="351"/>
      <c r="C114" s="347"/>
      <c r="D114" s="349"/>
      <c r="E114" s="349"/>
      <c r="F114" s="349"/>
      <c r="G114" s="349"/>
      <c r="H114" s="349"/>
      <c r="I114" s="349"/>
      <c r="J114" s="349"/>
      <c r="K114" s="18"/>
    </row>
    <row r="115" spans="1:25" ht="50.25" customHeight="1" thickBot="1">
      <c r="A115" s="18"/>
      <c r="B115" s="351"/>
      <c r="C115" s="347"/>
      <c r="D115" s="359" t="s">
        <v>138</v>
      </c>
      <c r="E115" s="395"/>
      <c r="F115" s="395"/>
      <c r="G115" s="395"/>
      <c r="H115" s="395"/>
      <c r="I115" s="395"/>
      <c r="J115" s="395"/>
      <c r="K115" s="43"/>
      <c r="P115" t="s">
        <v>229</v>
      </c>
      <c r="Q115" t="s">
        <v>214</v>
      </c>
      <c r="R115" t="s">
        <v>225</v>
      </c>
      <c r="S115" t="s">
        <v>226</v>
      </c>
      <c r="T115" s="233">
        <v>0.68</v>
      </c>
      <c r="U115" t="s">
        <v>227</v>
      </c>
      <c r="V115" t="s">
        <v>228</v>
      </c>
      <c r="W115" s="194" t="s">
        <v>377</v>
      </c>
      <c r="X115" s="194" t="s">
        <v>232</v>
      </c>
      <c r="Y115" t="s">
        <v>231</v>
      </c>
    </row>
    <row r="116" spans="1:23" ht="37.5" customHeight="1">
      <c r="A116" s="18"/>
      <c r="B116" s="351">
        <v>14</v>
      </c>
      <c r="C116" s="353" t="s">
        <v>223</v>
      </c>
      <c r="D116" s="360"/>
      <c r="E116" s="396"/>
      <c r="F116" s="396"/>
      <c r="G116" s="397" t="s">
        <v>269</v>
      </c>
      <c r="H116" s="398" t="str">
        <f>"Ertrag t/ha (WG"&amp;H118*100&amp;"%)"</f>
        <v>Ertrag t/ha (WG20%)</v>
      </c>
      <c r="I116" s="397" t="str">
        <f>"SRM/ha (WG"&amp;H118*100&amp;"%)"</f>
        <v>SRM/ha (WG20%)</v>
      </c>
      <c r="J116" s="398" t="str">
        <f>"Ertrag t/ha (WG"&amp;J118*100&amp;"%)"</f>
        <v>Ertrag t/ha (WG35%)</v>
      </c>
      <c r="K116" s="205" t="str">
        <f>"SRM/ha (WG"&amp;J118*100&amp;"%)"</f>
        <v>SRM/ha (WG35%)</v>
      </c>
      <c r="P116">
        <v>1000</v>
      </c>
      <c r="Q116">
        <v>0</v>
      </c>
      <c r="R116">
        <f>P116*Q116/100</f>
        <v>0</v>
      </c>
      <c r="S116">
        <f aca="true" t="shared" si="0" ref="S116:S124">P116-R116</f>
        <v>1000</v>
      </c>
      <c r="T116">
        <v>5.2</v>
      </c>
      <c r="U116" s="198">
        <v>5</v>
      </c>
      <c r="V116" s="197">
        <f aca="true" t="shared" si="1" ref="V116:V124">U116*P116</f>
        <v>5000</v>
      </c>
      <c r="W116" s="197">
        <f>V116/10</f>
        <v>500</v>
      </c>
    </row>
    <row r="117" spans="1:26" ht="14.25" customHeight="1">
      <c r="A117" s="18"/>
      <c r="B117" s="351"/>
      <c r="C117" s="353"/>
      <c r="D117" s="361" t="s">
        <v>230</v>
      </c>
      <c r="E117" s="349" t="s">
        <v>215</v>
      </c>
      <c r="G117" s="399"/>
      <c r="H117" s="400"/>
      <c r="I117" s="401">
        <v>200</v>
      </c>
      <c r="J117" s="402"/>
      <c r="K117" s="207">
        <v>300</v>
      </c>
      <c r="P117">
        <v>1000</v>
      </c>
      <c r="Q117" s="232">
        <v>0.05</v>
      </c>
      <c r="R117">
        <f aca="true" t="shared" si="2" ref="R117:R124">P117*Q117</f>
        <v>50</v>
      </c>
      <c r="S117">
        <f t="shared" si="0"/>
        <v>950</v>
      </c>
      <c r="T117">
        <f aca="true" t="shared" si="3" ref="T117:T124">(((100%-Q117)*$T$116)-(Q117*$T$115))</f>
        <v>4.906</v>
      </c>
      <c r="U117" s="198">
        <v>4.72</v>
      </c>
      <c r="V117" s="197">
        <f t="shared" si="1"/>
        <v>4720</v>
      </c>
      <c r="W117" s="197">
        <f aca="true" t="shared" si="4" ref="W117:W124">V117/10</f>
        <v>472</v>
      </c>
      <c r="Z117" s="234">
        <f aca="true" t="shared" si="5" ref="Z117:Z124">U117/$U$116</f>
        <v>0.944</v>
      </c>
    </row>
    <row r="118" spans="1:26" ht="17.25" customHeight="1">
      <c r="A118" s="18"/>
      <c r="B118" s="351"/>
      <c r="C118" s="353"/>
      <c r="D118" s="363" t="s">
        <v>214</v>
      </c>
      <c r="E118" s="403"/>
      <c r="F118" s="403"/>
      <c r="G118" s="404">
        <v>0</v>
      </c>
      <c r="H118" s="405">
        <v>0.2</v>
      </c>
      <c r="I118" s="406"/>
      <c r="J118" s="405">
        <v>0.35</v>
      </c>
      <c r="K118" s="208"/>
      <c r="P118">
        <v>1000</v>
      </c>
      <c r="Q118" s="232">
        <v>0.1</v>
      </c>
      <c r="R118">
        <f t="shared" si="2"/>
        <v>100</v>
      </c>
      <c r="S118">
        <f t="shared" si="0"/>
        <v>900</v>
      </c>
      <c r="T118">
        <f t="shared" si="3"/>
        <v>4.612000000000001</v>
      </c>
      <c r="U118" s="198">
        <v>4.43</v>
      </c>
      <c r="V118" s="197">
        <f t="shared" si="1"/>
        <v>4430</v>
      </c>
      <c r="W118" s="197">
        <f t="shared" si="4"/>
        <v>443</v>
      </c>
      <c r="Z118" s="234">
        <f t="shared" si="5"/>
        <v>0.8859999999999999</v>
      </c>
    </row>
    <row r="119" spans="1:26" ht="22.5" customHeight="1">
      <c r="A119" s="18"/>
      <c r="B119" s="351"/>
      <c r="C119" s="353"/>
      <c r="D119" s="364" t="s">
        <v>336</v>
      </c>
      <c r="E119" s="348"/>
      <c r="F119" s="348"/>
      <c r="G119" s="407">
        <v>11</v>
      </c>
      <c r="H119" s="408">
        <f>(1+(H$118/(100%-H$118)))*$G119</f>
        <v>13.75</v>
      </c>
      <c r="I119" s="409">
        <f>1000/$I$117*$H119</f>
        <v>68.75</v>
      </c>
      <c r="J119" s="408">
        <f>(1+(J$118/(100%-J$118)))*$G119</f>
        <v>16.92307692307692</v>
      </c>
      <c r="K119" s="209">
        <f>1000/$K$117*$J119</f>
        <v>56.4102564102564</v>
      </c>
      <c r="P119">
        <v>1000</v>
      </c>
      <c r="Q119" s="232">
        <v>0.2</v>
      </c>
      <c r="R119">
        <f t="shared" si="2"/>
        <v>200</v>
      </c>
      <c r="S119">
        <f t="shared" si="0"/>
        <v>800</v>
      </c>
      <c r="T119">
        <f t="shared" si="3"/>
        <v>4.024</v>
      </c>
      <c r="U119" s="198">
        <v>3.86</v>
      </c>
      <c r="V119" s="197">
        <f t="shared" si="1"/>
        <v>3860</v>
      </c>
      <c r="W119" s="197">
        <f t="shared" si="4"/>
        <v>386</v>
      </c>
      <c r="X119">
        <v>132.45</v>
      </c>
      <c r="Y119" s="197">
        <f>X119/V119*100</f>
        <v>3.4313471502590667</v>
      </c>
      <c r="Z119" s="234">
        <f t="shared" si="5"/>
        <v>0.772</v>
      </c>
    </row>
    <row r="120" spans="1:26" ht="14.25" customHeight="1">
      <c r="A120" s="18"/>
      <c r="B120" s="351"/>
      <c r="C120" s="347"/>
      <c r="D120" s="364" t="s">
        <v>337</v>
      </c>
      <c r="E120" s="348"/>
      <c r="F120" s="348"/>
      <c r="G120" s="410">
        <v>8.5</v>
      </c>
      <c r="H120" s="408">
        <f>(1+($H$118/(100%-$H$118)))*$G120</f>
        <v>10.625</v>
      </c>
      <c r="I120" s="409">
        <f>1000/$I$117*$H120</f>
        <v>53.125</v>
      </c>
      <c r="J120" s="408">
        <f>(1+(J$118/(100%-J$118)))*$G120</f>
        <v>13.076923076923077</v>
      </c>
      <c r="K120" s="209">
        <f>1000/$K$117*$J120</f>
        <v>43.58974358974359</v>
      </c>
      <c r="P120">
        <v>1000</v>
      </c>
      <c r="Q120" s="232">
        <v>0.25</v>
      </c>
      <c r="R120">
        <f t="shared" si="2"/>
        <v>250</v>
      </c>
      <c r="S120">
        <f t="shared" si="0"/>
        <v>750</v>
      </c>
      <c r="T120">
        <f t="shared" si="3"/>
        <v>3.7300000000000004</v>
      </c>
      <c r="U120">
        <f>(U119+U121)/2</f>
        <v>3.58</v>
      </c>
      <c r="V120" s="197">
        <f t="shared" si="1"/>
        <v>3580</v>
      </c>
      <c r="W120" s="197">
        <f t="shared" si="4"/>
        <v>358</v>
      </c>
      <c r="Y120" s="196">
        <f>X120/V120*100</f>
        <v>0</v>
      </c>
      <c r="Z120" s="234">
        <f t="shared" si="5"/>
        <v>0.716</v>
      </c>
    </row>
    <row r="121" spans="1:26" ht="14.25" customHeight="1">
      <c r="A121" s="18"/>
      <c r="B121" s="351"/>
      <c r="C121" s="347"/>
      <c r="D121" s="364" t="s">
        <v>338</v>
      </c>
      <c r="E121" s="348"/>
      <c r="F121" s="348"/>
      <c r="G121" s="410">
        <v>11</v>
      </c>
      <c r="H121" s="408">
        <f>(1+($H$118/(100%-$H$118)))*$G121</f>
        <v>13.75</v>
      </c>
      <c r="I121" s="409">
        <f>1000/$I$117*$H121</f>
        <v>68.75</v>
      </c>
      <c r="J121" s="408">
        <f>(1+(J$118/(100%-J$118)))*$G121</f>
        <v>16.92307692307692</v>
      </c>
      <c r="K121" s="209">
        <f>1000/$K$117*$J121</f>
        <v>56.4102564102564</v>
      </c>
      <c r="P121">
        <v>1000</v>
      </c>
      <c r="Q121" s="232">
        <v>0.3</v>
      </c>
      <c r="R121">
        <f t="shared" si="2"/>
        <v>300</v>
      </c>
      <c r="S121">
        <f t="shared" si="0"/>
        <v>700</v>
      </c>
      <c r="T121">
        <f t="shared" si="3"/>
        <v>3.4359999999999995</v>
      </c>
      <c r="U121" s="198">
        <v>3.3</v>
      </c>
      <c r="V121" s="197">
        <f t="shared" si="1"/>
        <v>3300</v>
      </c>
      <c r="W121" s="197">
        <f t="shared" si="4"/>
        <v>330</v>
      </c>
      <c r="Y121" s="196">
        <f>X121/V121*100</f>
        <v>0</v>
      </c>
      <c r="Z121" s="234">
        <f t="shared" si="5"/>
        <v>0.6599999999999999</v>
      </c>
    </row>
    <row r="122" spans="1:26" ht="14.25" customHeight="1">
      <c r="A122" s="18"/>
      <c r="B122" s="351"/>
      <c r="C122" s="347"/>
      <c r="D122" s="364" t="s">
        <v>339</v>
      </c>
      <c r="E122" s="348"/>
      <c r="F122" s="348"/>
      <c r="G122" s="410">
        <v>8.5</v>
      </c>
      <c r="H122" s="408">
        <f>(1+($H$118/(100%-$H$118)))*$G122</f>
        <v>10.625</v>
      </c>
      <c r="I122" s="409">
        <f>1000/$I$117*$H122</f>
        <v>53.125</v>
      </c>
      <c r="J122" s="408">
        <f>(1+(J$118/(100%-J$118)))*$G122</f>
        <v>13.076923076923077</v>
      </c>
      <c r="K122" s="209">
        <f>1000/$K$117*$J122</f>
        <v>43.58974358974359</v>
      </c>
      <c r="P122">
        <v>1000</v>
      </c>
      <c r="Q122" s="232">
        <v>0.35</v>
      </c>
      <c r="R122">
        <f t="shared" si="2"/>
        <v>350</v>
      </c>
      <c r="S122">
        <f t="shared" si="0"/>
        <v>650</v>
      </c>
      <c r="T122">
        <f t="shared" si="3"/>
        <v>3.1420000000000003</v>
      </c>
      <c r="U122">
        <f>(U121+U123)/2</f>
        <v>2.73</v>
      </c>
      <c r="V122" s="197">
        <f t="shared" si="1"/>
        <v>2730</v>
      </c>
      <c r="W122" s="197">
        <f t="shared" si="4"/>
        <v>273</v>
      </c>
      <c r="X122">
        <v>87.5</v>
      </c>
      <c r="Y122" s="197">
        <f>X122/V122*100</f>
        <v>3.205128205128205</v>
      </c>
      <c r="Z122" s="234">
        <f t="shared" si="5"/>
        <v>0.546</v>
      </c>
    </row>
    <row r="123" spans="1:26" ht="12.75" customHeight="1" thickBot="1">
      <c r="A123" s="18"/>
      <c r="B123" s="351"/>
      <c r="C123" s="347"/>
      <c r="D123" s="365"/>
      <c r="E123" s="395"/>
      <c r="F123" s="395"/>
      <c r="G123" s="411"/>
      <c r="H123" s="412"/>
      <c r="I123" s="413"/>
      <c r="J123" s="412"/>
      <c r="K123" s="206"/>
      <c r="P123">
        <v>1000</v>
      </c>
      <c r="Q123" s="232">
        <v>0.5</v>
      </c>
      <c r="R123">
        <f t="shared" si="2"/>
        <v>500</v>
      </c>
      <c r="S123">
        <f t="shared" si="0"/>
        <v>500</v>
      </c>
      <c r="T123">
        <f t="shared" si="3"/>
        <v>2.2600000000000002</v>
      </c>
      <c r="U123" s="198">
        <v>2.16</v>
      </c>
      <c r="V123" s="197">
        <f t="shared" si="1"/>
        <v>2160</v>
      </c>
      <c r="W123" s="197">
        <f t="shared" si="4"/>
        <v>216</v>
      </c>
      <c r="Z123" s="234">
        <f t="shared" si="5"/>
        <v>0.43200000000000005</v>
      </c>
    </row>
    <row r="124" spans="1:26" ht="11.25" customHeight="1">
      <c r="A124" s="18"/>
      <c r="B124" s="351"/>
      <c r="C124" s="347"/>
      <c r="D124" s="471" t="s">
        <v>340</v>
      </c>
      <c r="E124" s="471"/>
      <c r="F124" s="471"/>
      <c r="G124" s="471"/>
      <c r="H124" s="471"/>
      <c r="I124" s="471"/>
      <c r="J124" s="471"/>
      <c r="K124" s="471"/>
      <c r="P124">
        <v>1000</v>
      </c>
      <c r="Q124" s="232">
        <v>0.6</v>
      </c>
      <c r="R124">
        <f t="shared" si="2"/>
        <v>600</v>
      </c>
      <c r="S124">
        <f t="shared" si="0"/>
        <v>400</v>
      </c>
      <c r="T124">
        <f t="shared" si="3"/>
        <v>1.6720000000000002</v>
      </c>
      <c r="U124" s="198">
        <v>1.59</v>
      </c>
      <c r="V124" s="197">
        <f t="shared" si="1"/>
        <v>1590</v>
      </c>
      <c r="W124" s="197">
        <f t="shared" si="4"/>
        <v>159</v>
      </c>
      <c r="Z124" s="234">
        <f t="shared" si="5"/>
        <v>0.318</v>
      </c>
    </row>
    <row r="125" spans="1:11" ht="4.5" customHeight="1">
      <c r="A125" s="18"/>
      <c r="B125" s="351"/>
      <c r="C125" s="347"/>
      <c r="D125" s="348"/>
      <c r="E125" s="348"/>
      <c r="F125" s="348"/>
      <c r="G125" s="348"/>
      <c r="H125" s="348"/>
      <c r="I125" s="348"/>
      <c r="J125" s="348"/>
      <c r="K125" s="111"/>
    </row>
    <row r="126" spans="1:11" ht="4.5" customHeight="1">
      <c r="A126" s="18"/>
      <c r="B126" s="351"/>
      <c r="C126" s="347"/>
      <c r="D126" s="348"/>
      <c r="E126" s="348"/>
      <c r="F126" s="348"/>
      <c r="G126" s="348"/>
      <c r="H126" s="348"/>
      <c r="I126" s="348"/>
      <c r="J126" s="348"/>
      <c r="K126" s="111"/>
    </row>
    <row r="127" spans="1:11" ht="4.5" customHeight="1">
      <c r="A127" s="18"/>
      <c r="B127" s="351"/>
      <c r="C127" s="347"/>
      <c r="D127" s="348"/>
      <c r="E127" s="348"/>
      <c r="F127" s="348"/>
      <c r="G127" s="348"/>
      <c r="H127" s="348"/>
      <c r="I127" s="348"/>
      <c r="J127" s="348"/>
      <c r="K127" s="111"/>
    </row>
    <row r="128" spans="1:11" ht="4.5" customHeight="1">
      <c r="A128" s="18"/>
      <c r="B128" s="351"/>
      <c r="C128" s="347"/>
      <c r="D128" s="348"/>
      <c r="E128" s="348"/>
      <c r="F128" s="348"/>
      <c r="G128" s="348"/>
      <c r="H128" s="348"/>
      <c r="I128" s="348"/>
      <c r="J128" s="348"/>
      <c r="K128" s="111"/>
    </row>
    <row r="129" spans="1:11" ht="4.5" customHeight="1">
      <c r="A129" s="18"/>
      <c r="B129" s="351"/>
      <c r="C129" s="347"/>
      <c r="D129" s="348"/>
      <c r="E129" s="348"/>
      <c r="F129" s="348"/>
      <c r="G129" s="348"/>
      <c r="H129" s="348"/>
      <c r="I129" s="348"/>
      <c r="J129" s="348"/>
      <c r="K129" s="111"/>
    </row>
    <row r="130" spans="1:11" ht="0.75" customHeight="1">
      <c r="A130" s="18"/>
      <c r="B130" s="351"/>
      <c r="C130" s="347"/>
      <c r="D130" s="348"/>
      <c r="E130" s="348"/>
      <c r="F130" s="348"/>
      <c r="G130" s="348"/>
      <c r="H130" s="348"/>
      <c r="I130" s="348"/>
      <c r="J130" s="348"/>
      <c r="K130" s="111"/>
    </row>
    <row r="131" spans="1:11" ht="0.75" customHeight="1">
      <c r="A131" s="18"/>
      <c r="B131" s="351"/>
      <c r="C131" s="347"/>
      <c r="D131" s="348"/>
      <c r="E131" s="348"/>
      <c r="F131" s="348"/>
      <c r="G131" s="348"/>
      <c r="H131" s="348"/>
      <c r="I131" s="348"/>
      <c r="J131" s="348"/>
      <c r="K131" s="111"/>
    </row>
    <row r="132" spans="1:11" ht="0.75" customHeight="1">
      <c r="A132" s="18"/>
      <c r="B132" s="351"/>
      <c r="C132" s="347"/>
      <c r="D132" s="348"/>
      <c r="E132" s="348"/>
      <c r="F132" s="348"/>
      <c r="G132" s="348"/>
      <c r="H132" s="348"/>
      <c r="I132" s="348"/>
      <c r="J132" s="348"/>
      <c r="K132" s="111"/>
    </row>
    <row r="133" spans="1:11" ht="0.75" customHeight="1">
      <c r="A133" s="18"/>
      <c r="B133" s="351"/>
      <c r="C133" s="347"/>
      <c r="D133" s="348"/>
      <c r="E133" s="348"/>
      <c r="F133" s="348"/>
      <c r="G133" s="348"/>
      <c r="H133" s="348"/>
      <c r="I133" s="348"/>
      <c r="J133" s="348"/>
      <c r="K133" s="111"/>
    </row>
    <row r="134" spans="1:11" ht="0.75" customHeight="1">
      <c r="A134" s="18"/>
      <c r="B134" s="350"/>
      <c r="C134" s="347"/>
      <c r="D134" s="349"/>
      <c r="E134" s="349"/>
      <c r="F134" s="349"/>
      <c r="G134" s="349"/>
      <c r="H134" s="349"/>
      <c r="I134" s="349"/>
      <c r="J134" s="349"/>
      <c r="K134" s="18"/>
    </row>
    <row r="135" spans="1:11" ht="30.75" customHeight="1">
      <c r="A135" s="18"/>
      <c r="B135" s="350">
        <v>14</v>
      </c>
      <c r="C135" s="353" t="s">
        <v>98</v>
      </c>
      <c r="D135" s="381" t="s">
        <v>213</v>
      </c>
      <c r="E135" s="381"/>
      <c r="F135" s="381"/>
      <c r="G135" s="381"/>
      <c r="H135" s="381"/>
      <c r="I135" s="381"/>
      <c r="J135" s="381"/>
      <c r="K135" s="381"/>
    </row>
    <row r="136" spans="1:11" ht="16.5" customHeight="1">
      <c r="A136" s="18"/>
      <c r="B136" s="350"/>
      <c r="C136" s="353"/>
      <c r="D136" s="366" t="s">
        <v>139</v>
      </c>
      <c r="E136" s="348"/>
      <c r="F136" s="348"/>
      <c r="G136" s="348"/>
      <c r="H136" s="348"/>
      <c r="I136" s="348"/>
      <c r="J136" s="348"/>
      <c r="K136" s="111"/>
    </row>
    <row r="137" spans="1:11" ht="3" customHeight="1">
      <c r="A137" s="18"/>
      <c r="B137" s="350"/>
      <c r="C137" s="347"/>
      <c r="D137" s="348"/>
      <c r="E137" s="348"/>
      <c r="F137" s="348"/>
      <c r="G137" s="348"/>
      <c r="H137" s="348"/>
      <c r="I137" s="348"/>
      <c r="J137" s="348"/>
      <c r="K137" s="111"/>
    </row>
    <row r="138" spans="1:11" ht="4.5" customHeight="1">
      <c r="A138" s="18"/>
      <c r="B138" s="350"/>
      <c r="C138" s="347"/>
      <c r="D138" s="348"/>
      <c r="E138" s="348"/>
      <c r="F138" s="348"/>
      <c r="G138" s="348"/>
      <c r="H138" s="348"/>
      <c r="I138" s="348"/>
      <c r="J138" s="348"/>
      <c r="K138" s="111"/>
    </row>
    <row r="139" spans="1:11" ht="18.75" customHeight="1">
      <c r="A139" s="18"/>
      <c r="B139" s="350"/>
      <c r="C139" s="347"/>
      <c r="D139" s="348"/>
      <c r="E139" s="348"/>
      <c r="F139" s="348"/>
      <c r="G139" s="348"/>
      <c r="H139" s="348"/>
      <c r="I139" s="348"/>
      <c r="J139" s="348"/>
      <c r="K139" s="111"/>
    </row>
    <row r="140" spans="1:11" ht="18.75" customHeight="1">
      <c r="A140" s="18"/>
      <c r="B140" s="350"/>
      <c r="C140" s="347"/>
      <c r="D140" s="348"/>
      <c r="E140" s="348"/>
      <c r="F140" s="348"/>
      <c r="G140" s="348"/>
      <c r="H140" s="348"/>
      <c r="I140" s="348"/>
      <c r="J140" s="348"/>
      <c r="K140" s="111"/>
    </row>
    <row r="141" spans="1:11" ht="18.75" customHeight="1">
      <c r="A141" s="18"/>
      <c r="B141" s="350"/>
      <c r="C141" s="347"/>
      <c r="D141" s="348"/>
      <c r="E141" s="348"/>
      <c r="F141" s="348"/>
      <c r="G141" s="348"/>
      <c r="H141" s="348"/>
      <c r="I141" s="348"/>
      <c r="J141" s="348"/>
      <c r="K141" s="111"/>
    </row>
    <row r="142" spans="1:11" ht="18.75" customHeight="1">
      <c r="A142" s="18"/>
      <c r="B142" s="350"/>
      <c r="C142" s="347"/>
      <c r="D142" s="348"/>
      <c r="E142" s="348"/>
      <c r="F142" s="348"/>
      <c r="G142" s="348"/>
      <c r="H142" s="348"/>
      <c r="I142" s="348"/>
      <c r="J142" s="348"/>
      <c r="K142" s="111"/>
    </row>
    <row r="143" spans="1:11" ht="18.75" customHeight="1">
      <c r="A143" s="18"/>
      <c r="B143" s="350"/>
      <c r="C143" s="347"/>
      <c r="D143" s="348"/>
      <c r="E143" s="348"/>
      <c r="F143" s="348"/>
      <c r="G143" s="348"/>
      <c r="H143" s="348"/>
      <c r="I143" s="348"/>
      <c r="J143" s="348"/>
      <c r="K143" s="111"/>
    </row>
    <row r="144" spans="1:11" ht="18.75" customHeight="1">
      <c r="A144" s="18"/>
      <c r="B144" s="350"/>
      <c r="C144" s="347"/>
      <c r="D144" s="348"/>
      <c r="E144" s="348"/>
      <c r="F144" s="348"/>
      <c r="G144" s="348"/>
      <c r="H144" s="348"/>
      <c r="I144" s="348"/>
      <c r="J144" s="348"/>
      <c r="K144" s="111"/>
    </row>
    <row r="145" spans="1:11" ht="18.75" customHeight="1">
      <c r="A145" s="18"/>
      <c r="B145" s="350"/>
      <c r="C145" s="347"/>
      <c r="D145" s="348"/>
      <c r="E145" s="348"/>
      <c r="F145" s="348"/>
      <c r="G145" s="348"/>
      <c r="H145" s="348"/>
      <c r="I145" s="348"/>
      <c r="J145" s="348"/>
      <c r="K145" s="111"/>
    </row>
    <row r="146" spans="1:11" ht="18.75" customHeight="1">
      <c r="A146" s="18"/>
      <c r="B146" s="350"/>
      <c r="C146" s="347"/>
      <c r="D146" s="348"/>
      <c r="E146" s="348"/>
      <c r="F146" s="348"/>
      <c r="G146" s="348"/>
      <c r="H146" s="348"/>
      <c r="I146" s="348"/>
      <c r="J146" s="348"/>
      <c r="K146" s="111"/>
    </row>
    <row r="147" spans="1:11" ht="24.75" customHeight="1">
      <c r="A147" s="18"/>
      <c r="B147" s="350"/>
      <c r="C147" s="347"/>
      <c r="D147" s="348"/>
      <c r="E147" s="348"/>
      <c r="F147" s="348"/>
      <c r="G147" s="348"/>
      <c r="H147" s="348"/>
      <c r="I147" s="348"/>
      <c r="J147" s="348"/>
      <c r="K147" s="111"/>
    </row>
    <row r="148" spans="1:11" ht="24.75" customHeight="1">
      <c r="A148" s="18"/>
      <c r="B148" s="350"/>
      <c r="C148" s="347"/>
      <c r="D148" s="348"/>
      <c r="E148" s="348"/>
      <c r="F148" s="348"/>
      <c r="G148" s="348"/>
      <c r="H148" s="348"/>
      <c r="I148" s="348"/>
      <c r="J148" s="348"/>
      <c r="K148" s="111"/>
    </row>
    <row r="149" spans="1:11" ht="24.75" customHeight="1">
      <c r="A149" s="18"/>
      <c r="B149" s="350"/>
      <c r="C149" s="347"/>
      <c r="D149" s="348"/>
      <c r="E149" s="348"/>
      <c r="F149" s="348"/>
      <c r="G149" s="348"/>
      <c r="H149" s="348"/>
      <c r="I149" s="348"/>
      <c r="J149" s="348"/>
      <c r="K149" s="111"/>
    </row>
    <row r="150" spans="1:11" ht="24.75" customHeight="1">
      <c r="A150" s="18"/>
      <c r="B150" s="350"/>
      <c r="C150" s="347"/>
      <c r="D150" s="348"/>
      <c r="E150" s="348"/>
      <c r="F150" s="348"/>
      <c r="G150" s="348"/>
      <c r="H150" s="348"/>
      <c r="I150" s="348"/>
      <c r="J150" s="348"/>
      <c r="K150" s="111"/>
    </row>
    <row r="151" spans="1:11" ht="4.5" customHeight="1">
      <c r="A151" s="18"/>
      <c r="B151" s="350"/>
      <c r="C151" s="347"/>
      <c r="D151" s="348"/>
      <c r="E151" s="348"/>
      <c r="F151" s="348"/>
      <c r="G151" s="348"/>
      <c r="H151" s="348"/>
      <c r="I151" s="348"/>
      <c r="J151" s="348"/>
      <c r="K151" s="111"/>
    </row>
    <row r="152" spans="1:11" ht="9.75" customHeight="1">
      <c r="A152" s="18"/>
      <c r="B152" s="350"/>
      <c r="C152" s="347"/>
      <c r="D152" s="348"/>
      <c r="E152" s="348"/>
      <c r="F152" s="348"/>
      <c r="G152" s="348"/>
      <c r="H152" s="348"/>
      <c r="I152" s="348"/>
      <c r="J152" s="348"/>
      <c r="K152" s="111"/>
    </row>
    <row r="153" spans="1:11" ht="0.75" customHeight="1">
      <c r="A153" s="18"/>
      <c r="B153" s="350"/>
      <c r="C153" s="347"/>
      <c r="D153" s="348"/>
      <c r="E153" s="348"/>
      <c r="F153" s="348"/>
      <c r="G153" s="348"/>
      <c r="H153" s="348"/>
      <c r="I153" s="348"/>
      <c r="J153" s="348"/>
      <c r="K153" s="111"/>
    </row>
    <row r="154" spans="1:11" ht="0.75" customHeight="1">
      <c r="A154" s="18"/>
      <c r="B154" s="350"/>
      <c r="C154" s="347"/>
      <c r="D154" s="348"/>
      <c r="E154" s="348"/>
      <c r="F154" s="348"/>
      <c r="G154" s="348"/>
      <c r="H154" s="348"/>
      <c r="I154" s="348"/>
      <c r="J154" s="348"/>
      <c r="K154" s="111"/>
    </row>
    <row r="155" spans="1:11" ht="0.75" customHeight="1">
      <c r="A155" s="18"/>
      <c r="B155" s="350"/>
      <c r="C155" s="347"/>
      <c r="D155" s="348"/>
      <c r="E155" s="348"/>
      <c r="F155" s="348"/>
      <c r="G155" s="348"/>
      <c r="H155" s="348"/>
      <c r="I155" s="348"/>
      <c r="J155" s="348"/>
      <c r="K155" s="111"/>
    </row>
    <row r="156" spans="1:11" ht="0.75" customHeight="1">
      <c r="A156" s="18"/>
      <c r="B156" s="350"/>
      <c r="C156" s="347"/>
      <c r="D156" s="348"/>
      <c r="E156" s="348"/>
      <c r="F156" s="348"/>
      <c r="G156" s="348"/>
      <c r="H156" s="348"/>
      <c r="I156" s="348"/>
      <c r="J156" s="348"/>
      <c r="K156" s="111"/>
    </row>
    <row r="157" spans="1:11" ht="0.75" customHeight="1">
      <c r="A157" s="18"/>
      <c r="B157" s="350"/>
      <c r="C157" s="347"/>
      <c r="D157" s="348"/>
      <c r="E157" s="348"/>
      <c r="F157" s="348"/>
      <c r="G157" s="348"/>
      <c r="H157" s="348"/>
      <c r="I157" s="348"/>
      <c r="J157" s="348"/>
      <c r="K157" s="111"/>
    </row>
    <row r="158" spans="1:11" ht="0.75" customHeight="1">
      <c r="A158" s="18"/>
      <c r="B158" s="350"/>
      <c r="C158" s="347"/>
      <c r="D158" s="348"/>
      <c r="E158" s="348"/>
      <c r="F158" s="348"/>
      <c r="G158" s="348"/>
      <c r="H158" s="348"/>
      <c r="I158" s="348"/>
      <c r="J158" s="348"/>
      <c r="K158" s="111"/>
    </row>
    <row r="159" spans="1:11" ht="0.75" customHeight="1">
      <c r="A159" s="18"/>
      <c r="B159" s="350"/>
      <c r="C159" s="347"/>
      <c r="D159" s="348"/>
      <c r="E159" s="348"/>
      <c r="F159" s="348"/>
      <c r="G159" s="348"/>
      <c r="H159" s="348"/>
      <c r="I159" s="348"/>
      <c r="J159" s="348"/>
      <c r="K159" s="111"/>
    </row>
    <row r="160" spans="1:11" ht="0.75" customHeight="1">
      <c r="A160" s="18"/>
      <c r="B160" s="350"/>
      <c r="C160" s="347"/>
      <c r="D160" s="348"/>
      <c r="E160" s="348"/>
      <c r="F160" s="348"/>
      <c r="G160" s="348"/>
      <c r="H160" s="348"/>
      <c r="I160" s="348"/>
      <c r="J160" s="348"/>
      <c r="K160" s="111"/>
    </row>
    <row r="161" spans="1:11" ht="0.75" customHeight="1">
      <c r="A161" s="18"/>
      <c r="B161" s="350"/>
      <c r="C161" s="347"/>
      <c r="D161" s="348"/>
      <c r="E161" s="348"/>
      <c r="F161" s="348"/>
      <c r="G161" s="348"/>
      <c r="H161" s="348"/>
      <c r="I161" s="348"/>
      <c r="J161" s="348"/>
      <c r="K161" s="111"/>
    </row>
    <row r="162" spans="1:11" ht="0.75" customHeight="1">
      <c r="A162" s="18"/>
      <c r="B162" s="350"/>
      <c r="C162" s="347"/>
      <c r="D162" s="348"/>
      <c r="E162" s="348"/>
      <c r="F162" s="348"/>
      <c r="G162" s="348"/>
      <c r="H162" s="348"/>
      <c r="I162" s="348"/>
      <c r="J162" s="348"/>
      <c r="K162" s="111"/>
    </row>
    <row r="163" spans="1:11" ht="0.75" customHeight="1">
      <c r="A163" s="18"/>
      <c r="B163" s="350"/>
      <c r="C163" s="347"/>
      <c r="D163" s="348"/>
      <c r="E163" s="348"/>
      <c r="F163" s="348"/>
      <c r="G163" s="348"/>
      <c r="H163" s="348"/>
      <c r="I163" s="348"/>
      <c r="J163" s="348"/>
      <c r="K163" s="111"/>
    </row>
    <row r="164" spans="1:11" ht="25.5" customHeight="1">
      <c r="A164" s="18"/>
      <c r="B164" s="353">
        <v>15</v>
      </c>
      <c r="C164" s="353" t="s">
        <v>270</v>
      </c>
      <c r="D164" s="382" t="s">
        <v>220</v>
      </c>
      <c r="E164" s="382"/>
      <c r="F164" s="382"/>
      <c r="G164" s="382"/>
      <c r="H164" s="382"/>
      <c r="I164" s="382"/>
      <c r="J164" s="382"/>
      <c r="K164" s="111"/>
    </row>
    <row r="165" spans="1:11" ht="31.5" customHeight="1">
      <c r="A165" s="18"/>
      <c r="B165" s="353"/>
      <c r="C165" s="353"/>
      <c r="D165" s="382" t="s">
        <v>218</v>
      </c>
      <c r="E165" s="382"/>
      <c r="F165" s="382"/>
      <c r="G165" s="382"/>
      <c r="H165" s="382"/>
      <c r="I165" s="382"/>
      <c r="J165" s="382"/>
      <c r="K165" s="111"/>
    </row>
    <row r="166" spans="1:11" ht="33" customHeight="1">
      <c r="A166" s="18"/>
      <c r="B166" s="350"/>
      <c r="C166" s="347"/>
      <c r="D166" s="382" t="s">
        <v>219</v>
      </c>
      <c r="E166" s="382"/>
      <c r="F166" s="382"/>
      <c r="G166" s="382"/>
      <c r="H166" s="382"/>
      <c r="I166" s="382"/>
      <c r="J166" s="382"/>
      <c r="K166" s="111"/>
    </row>
    <row r="167" spans="1:11" ht="0.75" customHeight="1">
      <c r="A167" s="18"/>
      <c r="B167" s="350"/>
      <c r="C167" s="347"/>
      <c r="D167" s="362"/>
      <c r="E167" s="362"/>
      <c r="F167" s="362"/>
      <c r="G167" s="362"/>
      <c r="H167" s="362"/>
      <c r="I167" s="362"/>
      <c r="J167" s="362"/>
      <c r="K167" s="111"/>
    </row>
    <row r="168" spans="1:11" ht="0.75" customHeight="1">
      <c r="A168" s="18"/>
      <c r="B168" s="350"/>
      <c r="C168" s="347"/>
      <c r="D168" s="362"/>
      <c r="E168" s="362"/>
      <c r="F168" s="362"/>
      <c r="G168" s="362"/>
      <c r="H168" s="362"/>
      <c r="I168" s="362"/>
      <c r="J168" s="362"/>
      <c r="K168" s="111"/>
    </row>
    <row r="169" spans="1:11" ht="0.75" customHeight="1">
      <c r="A169" s="18"/>
      <c r="B169" s="350"/>
      <c r="C169" s="347"/>
      <c r="D169" s="362"/>
      <c r="E169" s="362"/>
      <c r="F169" s="362"/>
      <c r="G169" s="362"/>
      <c r="H169" s="362"/>
      <c r="I169" s="362"/>
      <c r="J169" s="362"/>
      <c r="K169" s="111"/>
    </row>
    <row r="170" spans="1:11" ht="0.75" customHeight="1">
      <c r="A170" s="18"/>
      <c r="B170" s="350"/>
      <c r="C170" s="347"/>
      <c r="D170" s="382"/>
      <c r="E170" s="382"/>
      <c r="F170" s="382"/>
      <c r="G170" s="382"/>
      <c r="H170" s="382"/>
      <c r="I170" s="382"/>
      <c r="J170" s="382"/>
      <c r="K170" s="111"/>
    </row>
    <row r="171" spans="1:11" ht="0.75" customHeight="1">
      <c r="A171" s="18"/>
      <c r="B171" s="350"/>
      <c r="C171" s="347"/>
      <c r="D171" s="349"/>
      <c r="E171" s="349"/>
      <c r="F171" s="349"/>
      <c r="G171" s="349"/>
      <c r="H171" s="349"/>
      <c r="I171" s="349"/>
      <c r="J171" s="349"/>
      <c r="K171" s="111"/>
    </row>
    <row r="172" spans="1:11" ht="0.75" customHeight="1">
      <c r="A172" s="18"/>
      <c r="B172" s="350"/>
      <c r="C172" s="347"/>
      <c r="D172" s="349"/>
      <c r="E172" s="349"/>
      <c r="F172" s="349"/>
      <c r="G172" s="349"/>
      <c r="H172" s="349"/>
      <c r="I172" s="349"/>
      <c r="J172" s="349"/>
      <c r="K172" s="111"/>
    </row>
    <row r="173" spans="1:11" ht="0.75" customHeight="1">
      <c r="A173" s="18"/>
      <c r="B173" s="350"/>
      <c r="C173" s="347"/>
      <c r="D173" s="348"/>
      <c r="E173" s="348"/>
      <c r="F173" s="348"/>
      <c r="G173" s="348"/>
      <c r="H173" s="348"/>
      <c r="I173" s="348"/>
      <c r="J173" s="348"/>
      <c r="K173" s="111"/>
    </row>
    <row r="174" spans="1:11" ht="0.75" customHeight="1">
      <c r="A174" s="18"/>
      <c r="B174" s="350"/>
      <c r="C174" s="347"/>
      <c r="D174" s="348"/>
      <c r="E174" s="348"/>
      <c r="F174" s="348"/>
      <c r="G174" s="348"/>
      <c r="H174" s="348"/>
      <c r="I174" s="348"/>
      <c r="J174" s="348"/>
      <c r="K174" s="111"/>
    </row>
    <row r="175" spans="1:11" ht="5.25" customHeight="1">
      <c r="A175" s="18"/>
      <c r="B175" s="350"/>
      <c r="C175" s="347"/>
      <c r="D175" s="348"/>
      <c r="E175" s="348"/>
      <c r="F175" s="348"/>
      <c r="G175" s="348"/>
      <c r="H175" s="348"/>
      <c r="I175" s="348"/>
      <c r="J175" s="348"/>
      <c r="K175" s="111"/>
    </row>
    <row r="176" spans="1:11" ht="5.25" customHeight="1">
      <c r="A176" s="18"/>
      <c r="B176" s="350"/>
      <c r="C176" s="347"/>
      <c r="D176" s="348"/>
      <c r="E176" s="348"/>
      <c r="F176" s="348"/>
      <c r="G176" s="348"/>
      <c r="H176" s="348"/>
      <c r="I176" s="348"/>
      <c r="J176" s="348"/>
      <c r="K176" s="111"/>
    </row>
    <row r="177" spans="1:11" ht="4.5" customHeight="1">
      <c r="A177" s="18"/>
      <c r="B177" s="350"/>
      <c r="C177" s="347"/>
      <c r="D177" s="348"/>
      <c r="E177" s="348"/>
      <c r="F177" s="348"/>
      <c r="G177" s="348"/>
      <c r="H177" s="348"/>
      <c r="I177" s="348"/>
      <c r="J177" s="348"/>
      <c r="K177" s="111"/>
    </row>
    <row r="178" spans="1:11" ht="9" customHeight="1">
      <c r="A178" s="18"/>
      <c r="B178" s="350"/>
      <c r="C178" s="347"/>
      <c r="D178" s="348"/>
      <c r="E178" s="348"/>
      <c r="F178" s="348"/>
      <c r="G178" s="348"/>
      <c r="H178" s="348"/>
      <c r="I178" s="348"/>
      <c r="J178" s="348"/>
      <c r="K178" s="111"/>
    </row>
    <row r="179" spans="1:11" ht="17.25" customHeight="1">
      <c r="A179" s="18"/>
      <c r="B179" s="385">
        <v>16</v>
      </c>
      <c r="C179" s="353" t="s">
        <v>343</v>
      </c>
      <c r="D179" s="381" t="s">
        <v>344</v>
      </c>
      <c r="E179" s="381"/>
      <c r="F179" s="381"/>
      <c r="G179" s="381"/>
      <c r="H179" s="381"/>
      <c r="I179" s="381"/>
      <c r="J179" s="381"/>
      <c r="K179" s="381"/>
    </row>
    <row r="180" spans="1:11" ht="17.25" customHeight="1">
      <c r="A180" s="18"/>
      <c r="B180" s="385"/>
      <c r="C180" s="353"/>
      <c r="D180" s="381" t="s">
        <v>347</v>
      </c>
      <c r="E180" s="381"/>
      <c r="F180" s="381"/>
      <c r="G180" s="381"/>
      <c r="H180" s="381"/>
      <c r="I180" s="381"/>
      <c r="J180" s="381"/>
      <c r="K180" s="381"/>
    </row>
    <row r="181" spans="1:11" ht="17.25" customHeight="1">
      <c r="A181" s="18"/>
      <c r="B181" s="469"/>
      <c r="C181" s="470"/>
      <c r="D181" s="381" t="s">
        <v>348</v>
      </c>
      <c r="E181" s="381"/>
      <c r="F181" s="381"/>
      <c r="G181" s="381"/>
      <c r="H181" s="381"/>
      <c r="I181" s="381"/>
      <c r="J181" s="381"/>
      <c r="K181" s="381"/>
    </row>
    <row r="182" spans="1:11" ht="0.75" customHeight="1">
      <c r="A182" s="18"/>
      <c r="C182" s="343"/>
      <c r="D182" s="348"/>
      <c r="E182" s="348"/>
      <c r="F182" s="348"/>
      <c r="G182" s="348"/>
      <c r="H182" s="348"/>
      <c r="I182" s="348"/>
      <c r="J182" s="348"/>
      <c r="K182" s="111"/>
    </row>
    <row r="183" spans="1:11" ht="0.75" customHeight="1">
      <c r="A183" s="18"/>
      <c r="C183" s="343"/>
      <c r="D183" s="348"/>
      <c r="E183" s="348"/>
      <c r="F183" s="348"/>
      <c r="G183" s="348"/>
      <c r="H183" s="348"/>
      <c r="I183" s="348"/>
      <c r="J183" s="348"/>
      <c r="K183" s="111"/>
    </row>
    <row r="184" spans="1:11" ht="0.75" customHeight="1">
      <c r="A184" s="18"/>
      <c r="C184" s="343"/>
      <c r="D184" s="348"/>
      <c r="E184" s="348"/>
      <c r="F184" s="348"/>
      <c r="G184" s="348"/>
      <c r="H184" s="348"/>
      <c r="I184" s="348"/>
      <c r="J184" s="348"/>
      <c r="K184" s="111"/>
    </row>
    <row r="185" spans="1:11" ht="0.75" customHeight="1">
      <c r="A185" s="18"/>
      <c r="C185" s="343"/>
      <c r="D185" s="348"/>
      <c r="E185" s="348"/>
      <c r="F185" s="348"/>
      <c r="G185" s="348"/>
      <c r="H185" s="348"/>
      <c r="I185" s="348"/>
      <c r="J185" s="348"/>
      <c r="K185" s="111"/>
    </row>
    <row r="186" spans="1:11" ht="0.75" customHeight="1">
      <c r="A186" s="18"/>
      <c r="C186" s="343"/>
      <c r="D186" s="348"/>
      <c r="E186" s="348"/>
      <c r="F186" s="348"/>
      <c r="G186" s="348"/>
      <c r="H186" s="348"/>
      <c r="I186" s="348"/>
      <c r="J186" s="348"/>
      <c r="K186" s="111"/>
    </row>
    <row r="187" spans="1:11" ht="0.75" customHeight="1">
      <c r="A187" s="18"/>
      <c r="C187" s="343"/>
      <c r="D187" s="348"/>
      <c r="E187" s="348"/>
      <c r="F187" s="348"/>
      <c r="G187" s="348"/>
      <c r="H187" s="348"/>
      <c r="I187" s="348"/>
      <c r="J187" s="348"/>
      <c r="K187" s="111"/>
    </row>
    <row r="188" spans="1:11" ht="0.75" customHeight="1">
      <c r="A188" s="18"/>
      <c r="C188" s="343"/>
      <c r="D188" s="348"/>
      <c r="E188" s="348"/>
      <c r="F188" s="348"/>
      <c r="G188" s="348"/>
      <c r="H188" s="348"/>
      <c r="I188" s="348"/>
      <c r="J188" s="348"/>
      <c r="K188" s="111"/>
    </row>
    <row r="189" spans="1:11" ht="0.75" customHeight="1">
      <c r="A189" s="18"/>
      <c r="C189" s="343"/>
      <c r="D189" s="348"/>
      <c r="E189" s="348"/>
      <c r="F189" s="348"/>
      <c r="G189" s="348"/>
      <c r="H189" s="348"/>
      <c r="I189" s="348"/>
      <c r="J189" s="348"/>
      <c r="K189" s="111"/>
    </row>
    <row r="190" spans="1:11" ht="0.75" customHeight="1">
      <c r="A190" s="18"/>
      <c r="C190" s="343"/>
      <c r="D190" s="348"/>
      <c r="E190" s="348"/>
      <c r="F190" s="348"/>
      <c r="G190" s="348"/>
      <c r="H190" s="348"/>
      <c r="I190" s="348"/>
      <c r="J190" s="348"/>
      <c r="K190" s="111"/>
    </row>
    <row r="191" spans="1:11" ht="0.75" customHeight="1">
      <c r="A191" s="18"/>
      <c r="C191" s="343"/>
      <c r="D191" s="348"/>
      <c r="E191" s="348"/>
      <c r="F191" s="348"/>
      <c r="G191" s="348"/>
      <c r="H191" s="348"/>
      <c r="I191" s="348"/>
      <c r="J191" s="348"/>
      <c r="K191" s="111"/>
    </row>
    <row r="192" spans="1:11" ht="0.75" customHeight="1">
      <c r="A192" s="18"/>
      <c r="C192" s="343"/>
      <c r="D192" s="348"/>
      <c r="E192" s="348"/>
      <c r="F192" s="348"/>
      <c r="G192" s="348"/>
      <c r="H192" s="348"/>
      <c r="I192" s="348"/>
      <c r="J192" s="348"/>
      <c r="K192" s="111"/>
    </row>
    <row r="193" spans="1:11" ht="0.75" customHeight="1">
      <c r="A193" s="18"/>
      <c r="C193" s="343"/>
      <c r="D193" s="348"/>
      <c r="E193" s="348"/>
      <c r="F193" s="348"/>
      <c r="G193" s="348"/>
      <c r="H193" s="348"/>
      <c r="I193" s="348"/>
      <c r="J193" s="348"/>
      <c r="K193" s="111"/>
    </row>
    <row r="194" spans="1:11" ht="6.75" customHeight="1">
      <c r="A194" s="18"/>
      <c r="B194" s="350"/>
      <c r="C194" s="347"/>
      <c r="D194" s="367"/>
      <c r="E194" s="414"/>
      <c r="F194" s="348"/>
      <c r="G194" s="415"/>
      <c r="H194" s="348"/>
      <c r="I194" s="348"/>
      <c r="J194" s="349"/>
      <c r="K194" s="346"/>
    </row>
    <row r="195" spans="1:11" ht="20.25" customHeight="1">
      <c r="A195" s="18"/>
      <c r="B195" s="350"/>
      <c r="C195" s="347"/>
      <c r="D195" s="348"/>
      <c r="E195" s="348"/>
      <c r="F195" s="348"/>
      <c r="G195" s="348"/>
      <c r="H195" s="348"/>
      <c r="I195" s="348"/>
      <c r="J195" s="348"/>
      <c r="K195" s="18"/>
    </row>
    <row r="196" spans="1:11" ht="22.5" customHeight="1">
      <c r="A196" s="18"/>
      <c r="B196" s="385">
        <v>17</v>
      </c>
      <c r="C196" s="353" t="s">
        <v>279</v>
      </c>
      <c r="D196" s="368" t="s">
        <v>272</v>
      </c>
      <c r="E196" s="368"/>
      <c r="F196" s="349"/>
      <c r="G196" s="349"/>
      <c r="H196" s="349"/>
      <c r="I196" s="349"/>
      <c r="J196" s="368"/>
      <c r="K196" s="18"/>
    </row>
    <row r="197" spans="1:11" ht="22.5" customHeight="1">
      <c r="A197" s="18"/>
      <c r="B197" s="385"/>
      <c r="C197" s="353"/>
      <c r="D197" s="368" t="s">
        <v>273</v>
      </c>
      <c r="E197" s="368" t="s">
        <v>276</v>
      </c>
      <c r="F197" s="349"/>
      <c r="G197" s="349"/>
      <c r="H197" s="349"/>
      <c r="I197" s="349"/>
      <c r="J197" s="368"/>
      <c r="K197" s="18"/>
    </row>
    <row r="198" spans="1:11" ht="24" customHeight="1">
      <c r="A198" s="18"/>
      <c r="B198" s="385"/>
      <c r="C198" s="353"/>
      <c r="D198" s="368" t="s">
        <v>277</v>
      </c>
      <c r="E198" s="368" t="s">
        <v>274</v>
      </c>
      <c r="F198" s="349"/>
      <c r="G198" s="349"/>
      <c r="H198" s="349"/>
      <c r="I198" s="349"/>
      <c r="J198" s="368"/>
      <c r="K198" s="18"/>
    </row>
    <row r="199" spans="1:11" ht="18.75" customHeight="1">
      <c r="A199" s="18"/>
      <c r="B199" s="385"/>
      <c r="C199" s="353"/>
      <c r="D199" s="368" t="s">
        <v>278</v>
      </c>
      <c r="E199" s="368" t="s">
        <v>275</v>
      </c>
      <c r="F199" s="349"/>
      <c r="G199" s="349"/>
      <c r="H199" s="349"/>
      <c r="I199" s="349"/>
      <c r="J199" s="368"/>
      <c r="K199" s="18"/>
    </row>
    <row r="200" spans="1:11" ht="3.75" customHeight="1">
      <c r="A200" s="18"/>
      <c r="B200" s="350"/>
      <c r="C200" s="347"/>
      <c r="D200" s="348"/>
      <c r="E200" s="348"/>
      <c r="F200" s="348"/>
      <c r="G200" s="348"/>
      <c r="H200" s="348"/>
      <c r="I200" s="348"/>
      <c r="J200" s="348"/>
      <c r="K200" s="18"/>
    </row>
    <row r="201" spans="1:11" ht="8.25" customHeight="1" thickBot="1">
      <c r="A201" s="18"/>
      <c r="B201" s="350"/>
      <c r="C201" s="416"/>
      <c r="D201" s="348"/>
      <c r="E201" s="348"/>
      <c r="F201" s="348"/>
      <c r="G201" s="348"/>
      <c r="H201" s="348"/>
      <c r="I201" s="348"/>
      <c r="J201" s="348"/>
      <c r="K201" s="18"/>
    </row>
    <row r="202" spans="1:8" ht="25.5" customHeight="1">
      <c r="A202" s="18"/>
      <c r="B202" s="350"/>
      <c r="C202" s="417"/>
      <c r="D202" s="369" t="s">
        <v>174</v>
      </c>
      <c r="E202" s="418"/>
      <c r="F202" s="419" t="s">
        <v>280</v>
      </c>
      <c r="G202" s="420" t="s">
        <v>281</v>
      </c>
      <c r="H202" s="421" t="s">
        <v>282</v>
      </c>
    </row>
    <row r="203" spans="1:8" ht="22.5" customHeight="1">
      <c r="A203" s="18"/>
      <c r="B203" s="350"/>
      <c r="C203" s="422"/>
      <c r="D203" s="370" t="s">
        <v>171</v>
      </c>
      <c r="E203" s="423" t="s">
        <v>49</v>
      </c>
      <c r="F203" s="424">
        <v>55</v>
      </c>
      <c r="G203" s="425">
        <v>50</v>
      </c>
      <c r="H203" s="426">
        <v>38</v>
      </c>
    </row>
    <row r="204" spans="1:8" ht="22.5" customHeight="1">
      <c r="A204" s="18"/>
      <c r="B204" s="350"/>
      <c r="C204" s="427"/>
      <c r="D204" s="371" t="s">
        <v>172</v>
      </c>
      <c r="E204" s="423" t="s">
        <v>173</v>
      </c>
      <c r="F204" s="424">
        <v>3</v>
      </c>
      <c r="G204" s="425">
        <v>6</v>
      </c>
      <c r="H204" s="426">
        <v>18</v>
      </c>
    </row>
    <row r="205" spans="1:8" ht="22.5" customHeight="1">
      <c r="A205" s="18"/>
      <c r="B205" s="350"/>
      <c r="C205" s="428"/>
      <c r="D205" s="330" t="s">
        <v>334</v>
      </c>
      <c r="E205" s="423" t="s">
        <v>335</v>
      </c>
      <c r="F205" s="429">
        <v>0.5</v>
      </c>
      <c r="G205" s="430">
        <v>0.5</v>
      </c>
      <c r="H205" s="431">
        <v>0.5</v>
      </c>
    </row>
    <row r="206" spans="1:8" ht="22.5" customHeight="1" thickBot="1">
      <c r="A206" s="18"/>
      <c r="B206" s="350"/>
      <c r="C206" s="432"/>
      <c r="D206" s="372" t="s">
        <v>333</v>
      </c>
      <c r="E206" s="433" t="s">
        <v>335</v>
      </c>
      <c r="F206" s="434">
        <f>(F205*F204)*(100/(100-F203))</f>
        <v>3.3333333333333335</v>
      </c>
      <c r="G206" s="435">
        <f>(G205*G204)*(100/(100-G203))</f>
        <v>6</v>
      </c>
      <c r="H206" s="436">
        <f>(H205*H204)*(100/(100-H203))</f>
        <v>14.516129032258064</v>
      </c>
    </row>
    <row r="207" spans="1:11" ht="28.5" customHeight="1">
      <c r="A207" s="18"/>
      <c r="B207" s="350"/>
      <c r="C207" s="416"/>
      <c r="D207" s="349"/>
      <c r="E207" s="437" t="s">
        <v>152</v>
      </c>
      <c r="F207" s="349"/>
      <c r="G207" s="349"/>
      <c r="H207" s="349"/>
      <c r="I207" s="349"/>
      <c r="J207" s="349"/>
      <c r="K207" s="18"/>
    </row>
    <row r="208" spans="1:11" ht="0.75" customHeight="1">
      <c r="A208" s="18"/>
      <c r="B208" s="350"/>
      <c r="C208" s="416"/>
      <c r="D208" s="349"/>
      <c r="E208" s="437"/>
      <c r="F208" s="349"/>
      <c r="G208" s="349"/>
      <c r="H208" s="349"/>
      <c r="I208" s="349"/>
      <c r="J208" s="349"/>
      <c r="K208" s="18"/>
    </row>
    <row r="209" spans="1:11" ht="0.75" customHeight="1">
      <c r="A209" s="18"/>
      <c r="B209" s="350"/>
      <c r="C209" s="416"/>
      <c r="D209" s="349"/>
      <c r="E209" s="437"/>
      <c r="F209" s="349"/>
      <c r="G209" s="349"/>
      <c r="H209" s="349"/>
      <c r="I209" s="349"/>
      <c r="J209" s="349"/>
      <c r="K209" s="18"/>
    </row>
    <row r="210" spans="1:11" ht="0.75" customHeight="1">
      <c r="A210" s="18"/>
      <c r="B210" s="350"/>
      <c r="C210" s="416"/>
      <c r="D210" s="349"/>
      <c r="E210" s="437"/>
      <c r="F210" s="349"/>
      <c r="G210" s="349"/>
      <c r="H210" s="349"/>
      <c r="I210" s="349"/>
      <c r="J210" s="349"/>
      <c r="K210" s="18"/>
    </row>
    <row r="211" spans="1:11" ht="0.75" customHeight="1">
      <c r="A211" s="18"/>
      <c r="B211" s="350"/>
      <c r="C211" s="416"/>
      <c r="D211" s="349"/>
      <c r="E211" s="437"/>
      <c r="F211" s="349"/>
      <c r="G211" s="349"/>
      <c r="H211" s="349"/>
      <c r="I211" s="349"/>
      <c r="J211" s="349"/>
      <c r="K211" s="18"/>
    </row>
    <row r="212" spans="1:11" ht="0.75" customHeight="1">
      <c r="A212" s="18"/>
      <c r="B212" s="350"/>
      <c r="C212" s="416"/>
      <c r="D212" s="349"/>
      <c r="E212" s="437"/>
      <c r="F212" s="349"/>
      <c r="G212" s="349"/>
      <c r="H212" s="349"/>
      <c r="I212" s="349"/>
      <c r="J212" s="349"/>
      <c r="K212" s="18"/>
    </row>
    <row r="213" spans="1:11" ht="0.75" customHeight="1">
      <c r="A213" s="18"/>
      <c r="B213" s="350"/>
      <c r="C213" s="416"/>
      <c r="D213" s="349"/>
      <c r="E213" s="437"/>
      <c r="F213" s="349"/>
      <c r="G213" s="349"/>
      <c r="H213" s="349"/>
      <c r="I213" s="349"/>
      <c r="J213" s="349"/>
      <c r="K213" s="18"/>
    </row>
    <row r="214" spans="1:11" ht="0.75" customHeight="1">
      <c r="A214" s="18"/>
      <c r="B214" s="350"/>
      <c r="C214" s="416"/>
      <c r="D214" s="349"/>
      <c r="E214" s="437"/>
      <c r="F214" s="349"/>
      <c r="G214" s="349"/>
      <c r="H214" s="349"/>
      <c r="I214" s="349"/>
      <c r="J214" s="349"/>
      <c r="K214" s="18"/>
    </row>
    <row r="215" spans="1:11" ht="0.75" customHeight="1">
      <c r="A215" s="18"/>
      <c r="B215" s="349"/>
      <c r="C215" s="349"/>
      <c r="D215" s="349"/>
      <c r="E215" s="348"/>
      <c r="F215" s="348"/>
      <c r="G215" s="348"/>
      <c r="H215" s="348"/>
      <c r="I215" s="348"/>
      <c r="J215" s="348"/>
      <c r="K215" s="18"/>
    </row>
    <row r="216" spans="1:11" ht="27.75" customHeight="1">
      <c r="A216" s="18"/>
      <c r="B216" s="385">
        <v>18</v>
      </c>
      <c r="C216" s="353" t="s">
        <v>96</v>
      </c>
      <c r="D216" s="381" t="s">
        <v>83</v>
      </c>
      <c r="E216" s="381"/>
      <c r="F216" s="381"/>
      <c r="G216" s="381"/>
      <c r="H216" s="381"/>
      <c r="I216" s="381"/>
      <c r="J216" s="381"/>
      <c r="K216" s="18"/>
    </row>
    <row r="217" spans="1:11" ht="23.25" customHeight="1">
      <c r="A217" s="18"/>
      <c r="B217" s="385"/>
      <c r="C217" s="353"/>
      <c r="D217" s="381" t="s">
        <v>84</v>
      </c>
      <c r="E217" s="381"/>
      <c r="F217" s="381"/>
      <c r="G217" s="381"/>
      <c r="H217" s="381"/>
      <c r="I217" s="381"/>
      <c r="J217" s="381"/>
      <c r="K217" s="18"/>
    </row>
    <row r="218" spans="1:11" ht="15" customHeight="1">
      <c r="A218" s="18"/>
      <c r="B218" s="350"/>
      <c r="C218" s="347"/>
      <c r="D218" s="381" t="s">
        <v>184</v>
      </c>
      <c r="E218" s="381"/>
      <c r="F218" s="381"/>
      <c r="G218" s="381"/>
      <c r="H218" s="381"/>
      <c r="I218" s="381"/>
      <c r="J218" s="381"/>
      <c r="K218" s="18"/>
    </row>
    <row r="219" spans="1:11" ht="6" customHeight="1">
      <c r="A219" s="18"/>
      <c r="B219" s="350"/>
      <c r="C219" s="347"/>
      <c r="D219" s="348"/>
      <c r="E219" s="348"/>
      <c r="F219" s="348"/>
      <c r="G219" s="348"/>
      <c r="H219" s="348"/>
      <c r="I219" s="348"/>
      <c r="J219" s="348"/>
      <c r="K219" s="18"/>
    </row>
    <row r="220" spans="1:11" ht="0.75" customHeight="1" hidden="1">
      <c r="A220" s="18"/>
      <c r="B220" s="350"/>
      <c r="C220" s="347"/>
      <c r="D220" s="348"/>
      <c r="E220" s="348"/>
      <c r="F220" s="348"/>
      <c r="G220" s="348"/>
      <c r="H220" s="348"/>
      <c r="I220" s="348"/>
      <c r="J220" s="348"/>
      <c r="K220" s="18"/>
    </row>
    <row r="221" spans="1:11" ht="0.75" customHeight="1" hidden="1">
      <c r="A221" s="18"/>
      <c r="B221" s="350"/>
      <c r="C221" s="347"/>
      <c r="D221" s="348"/>
      <c r="E221" s="348"/>
      <c r="F221" s="348"/>
      <c r="G221" s="348"/>
      <c r="H221" s="348"/>
      <c r="I221" s="348"/>
      <c r="J221" s="348"/>
      <c r="K221" s="18"/>
    </row>
    <row r="222" spans="1:11" ht="0.75" customHeight="1" hidden="1">
      <c r="A222" s="18"/>
      <c r="B222" s="350"/>
      <c r="C222" s="347"/>
      <c r="D222" s="348"/>
      <c r="E222" s="348"/>
      <c r="F222" s="348"/>
      <c r="G222" s="348"/>
      <c r="H222" s="348"/>
      <c r="I222" s="348"/>
      <c r="J222" s="348"/>
      <c r="K222" s="18"/>
    </row>
    <row r="223" spans="1:11" ht="0.75" customHeight="1" hidden="1">
      <c r="A223" s="18"/>
      <c r="B223" s="350"/>
      <c r="C223" s="347"/>
      <c r="D223" s="348"/>
      <c r="E223" s="348"/>
      <c r="F223" s="348"/>
      <c r="G223" s="348"/>
      <c r="H223" s="348"/>
      <c r="I223" s="348"/>
      <c r="J223" s="348"/>
      <c r="K223" s="18"/>
    </row>
    <row r="224" spans="1:11" ht="0.75" customHeight="1" hidden="1">
      <c r="A224" s="18"/>
      <c r="B224" s="350"/>
      <c r="C224" s="347"/>
      <c r="D224" s="348"/>
      <c r="E224" s="348"/>
      <c r="F224" s="348"/>
      <c r="G224" s="348"/>
      <c r="H224" s="348"/>
      <c r="I224" s="348"/>
      <c r="J224" s="348"/>
      <c r="K224" s="18"/>
    </row>
    <row r="225" spans="1:11" ht="0.75" customHeight="1" hidden="1">
      <c r="A225" s="18"/>
      <c r="B225" s="350"/>
      <c r="C225" s="347"/>
      <c r="D225" s="348"/>
      <c r="E225" s="348"/>
      <c r="F225" s="348"/>
      <c r="G225" s="348"/>
      <c r="H225" s="348"/>
      <c r="I225" s="348"/>
      <c r="J225" s="348"/>
      <c r="K225" s="18"/>
    </row>
    <row r="226" spans="1:11" ht="0.75" customHeight="1" hidden="1">
      <c r="A226" s="18"/>
      <c r="B226" s="350"/>
      <c r="C226" s="347"/>
      <c r="D226" s="348"/>
      <c r="E226" s="348"/>
      <c r="F226" s="348"/>
      <c r="G226" s="348"/>
      <c r="H226" s="348"/>
      <c r="I226" s="348"/>
      <c r="J226" s="348"/>
      <c r="K226" s="18"/>
    </row>
    <row r="227" spans="1:11" ht="0.75" customHeight="1" hidden="1">
      <c r="A227" s="18"/>
      <c r="B227" s="350"/>
      <c r="C227" s="347"/>
      <c r="D227" s="348"/>
      <c r="E227" s="348"/>
      <c r="F227" s="348"/>
      <c r="G227" s="348"/>
      <c r="H227" s="348"/>
      <c r="I227" s="348"/>
      <c r="J227" s="348"/>
      <c r="K227" s="18"/>
    </row>
    <row r="228" spans="1:11" ht="0.75" customHeight="1" hidden="1">
      <c r="A228" s="18"/>
      <c r="B228" s="350"/>
      <c r="C228" s="347"/>
      <c r="D228" s="348"/>
      <c r="E228" s="348"/>
      <c r="F228" s="348"/>
      <c r="G228" s="348"/>
      <c r="H228" s="348"/>
      <c r="I228" s="348"/>
      <c r="J228" s="348"/>
      <c r="K228" s="18"/>
    </row>
    <row r="229" spans="1:11" ht="0.75" customHeight="1" hidden="1">
      <c r="A229" s="18"/>
      <c r="B229" s="350"/>
      <c r="C229" s="347"/>
      <c r="D229" s="348"/>
      <c r="E229" s="348"/>
      <c r="F229" s="348"/>
      <c r="G229" s="348"/>
      <c r="H229" s="348"/>
      <c r="I229" s="348"/>
      <c r="J229" s="348"/>
      <c r="K229" s="18"/>
    </row>
    <row r="230" spans="1:11" ht="3" customHeight="1">
      <c r="A230" s="18"/>
      <c r="B230" s="350"/>
      <c r="C230" s="347"/>
      <c r="D230" s="348"/>
      <c r="E230" s="348"/>
      <c r="F230" s="348"/>
      <c r="G230" s="348"/>
      <c r="H230" s="348"/>
      <c r="I230" s="348"/>
      <c r="J230" s="348"/>
      <c r="K230" s="18"/>
    </row>
    <row r="231" spans="1:11" ht="15" customHeight="1">
      <c r="A231" s="18"/>
      <c r="B231" s="385">
        <v>19</v>
      </c>
      <c r="C231" s="353" t="s">
        <v>221</v>
      </c>
      <c r="D231" s="384" t="s">
        <v>163</v>
      </c>
      <c r="E231" s="384"/>
      <c r="F231" s="384"/>
      <c r="G231" s="384"/>
      <c r="H231" s="384"/>
      <c r="I231" s="384"/>
      <c r="J231" s="384"/>
      <c r="K231" s="384"/>
    </row>
    <row r="232" spans="1:11" ht="24.75" customHeight="1" thickBot="1">
      <c r="A232" s="18"/>
      <c r="B232" s="385"/>
      <c r="C232" s="353"/>
      <c r="D232" s="384" t="s">
        <v>236</v>
      </c>
      <c r="E232" s="384"/>
      <c r="F232" s="384"/>
      <c r="G232" s="384"/>
      <c r="H232" s="384"/>
      <c r="I232" s="384"/>
      <c r="J232" s="384"/>
      <c r="K232" s="384"/>
    </row>
    <row r="233" spans="1:11" ht="15" customHeight="1">
      <c r="A233" s="18"/>
      <c r="B233" s="350"/>
      <c r="C233" s="438" t="s">
        <v>222</v>
      </c>
      <c r="D233" s="373" t="s">
        <v>151</v>
      </c>
      <c r="E233" s="377">
        <v>600</v>
      </c>
      <c r="F233" s="378" t="s">
        <v>154</v>
      </c>
      <c r="G233" s="439">
        <v>4</v>
      </c>
      <c r="H233" s="378" t="s">
        <v>149</v>
      </c>
      <c r="I233" s="378" t="s">
        <v>150</v>
      </c>
      <c r="J233" s="380">
        <f>E233/G233</f>
        <v>150</v>
      </c>
      <c r="K233" s="99"/>
    </row>
    <row r="234" spans="1:10" ht="15" customHeight="1">
      <c r="A234" s="18"/>
      <c r="B234" s="350"/>
      <c r="C234" s="347"/>
      <c r="D234" s="374" t="s">
        <v>153</v>
      </c>
      <c r="E234" s="386"/>
      <c r="F234" s="387" t="s">
        <v>154</v>
      </c>
      <c r="G234" s="440">
        <f>G233</f>
        <v>4</v>
      </c>
      <c r="H234" s="387" t="s">
        <v>149</v>
      </c>
      <c r="I234" s="387" t="s">
        <v>150</v>
      </c>
      <c r="J234" s="441">
        <f>E234/G234</f>
        <v>0</v>
      </c>
    </row>
    <row r="235" spans="1:11" ht="15" customHeight="1" thickBot="1">
      <c r="A235" s="18"/>
      <c r="B235" s="350"/>
      <c r="C235" s="347"/>
      <c r="D235" s="358" t="s">
        <v>155</v>
      </c>
      <c r="E235" s="390"/>
      <c r="F235" s="442" t="s">
        <v>154</v>
      </c>
      <c r="G235" s="443"/>
      <c r="H235" s="442" t="s">
        <v>149</v>
      </c>
      <c r="I235" s="442" t="s">
        <v>150</v>
      </c>
      <c r="J235" s="393">
        <f>J233+J234</f>
        <v>150</v>
      </c>
      <c r="K235" s="99" t="s">
        <v>152</v>
      </c>
    </row>
    <row r="236" spans="1:10" ht="9" customHeight="1">
      <c r="A236" s="18"/>
      <c r="B236" s="350"/>
      <c r="C236" s="347"/>
      <c r="D236" s="375"/>
      <c r="E236" s="348"/>
      <c r="F236" s="348"/>
      <c r="G236" s="348"/>
      <c r="H236" s="348"/>
      <c r="I236" s="348"/>
      <c r="J236" s="348"/>
    </row>
    <row r="237" spans="1:10" ht="0.75" customHeight="1" hidden="1">
      <c r="A237" s="18"/>
      <c r="B237" s="350"/>
      <c r="C237" s="347"/>
      <c r="D237" s="375"/>
      <c r="E237" s="348"/>
      <c r="F237" s="348"/>
      <c r="G237" s="348"/>
      <c r="H237" s="348"/>
      <c r="I237" s="348"/>
      <c r="J237" s="348"/>
    </row>
    <row r="238" spans="1:10" ht="0.75" customHeight="1" hidden="1">
      <c r="A238" s="18"/>
      <c r="B238" s="350"/>
      <c r="C238" s="347"/>
      <c r="D238" s="375"/>
      <c r="E238" s="348"/>
      <c r="F238" s="348"/>
      <c r="G238" s="348"/>
      <c r="H238" s="348"/>
      <c r="I238" s="348"/>
      <c r="J238" s="348"/>
    </row>
    <row r="239" spans="1:10" ht="0.75" customHeight="1" hidden="1">
      <c r="A239" s="18"/>
      <c r="B239" s="350"/>
      <c r="C239" s="347"/>
      <c r="D239" s="375"/>
      <c r="E239" s="348"/>
      <c r="F239" s="348"/>
      <c r="G239" s="348"/>
      <c r="H239" s="348"/>
      <c r="I239" s="348"/>
      <c r="J239" s="348"/>
    </row>
    <row r="240" spans="1:10" ht="0.75" customHeight="1" hidden="1">
      <c r="A240" s="18"/>
      <c r="B240" s="350"/>
      <c r="C240" s="347"/>
      <c r="D240" s="375"/>
      <c r="E240" s="348"/>
      <c r="F240" s="348"/>
      <c r="G240" s="348"/>
      <c r="H240" s="348"/>
      <c r="I240" s="348"/>
      <c r="J240" s="348"/>
    </row>
    <row r="241" spans="1:10" ht="0.75" customHeight="1" hidden="1">
      <c r="A241" s="18"/>
      <c r="B241" s="350"/>
      <c r="C241" s="347"/>
      <c r="D241" s="375"/>
      <c r="E241" s="348"/>
      <c r="F241" s="348"/>
      <c r="G241" s="348"/>
      <c r="H241" s="348"/>
      <c r="I241" s="348"/>
      <c r="J241" s="348"/>
    </row>
    <row r="242" spans="1:10" ht="0.75" customHeight="1" hidden="1">
      <c r="A242" s="18"/>
      <c r="B242" s="350"/>
      <c r="C242" s="347"/>
      <c r="D242" s="375"/>
      <c r="E242" s="348"/>
      <c r="F242" s="348"/>
      <c r="G242" s="348"/>
      <c r="H242" s="348"/>
      <c r="I242" s="348"/>
      <c r="J242" s="348"/>
    </row>
    <row r="243" spans="1:10" ht="0.75" customHeight="1">
      <c r="A243" s="18"/>
      <c r="B243" s="350"/>
      <c r="C243" s="347"/>
      <c r="D243" s="348"/>
      <c r="E243" s="348"/>
      <c r="F243" s="348"/>
      <c r="G243" s="348"/>
      <c r="H243" s="348"/>
      <c r="I243" s="348"/>
      <c r="J243" s="348"/>
    </row>
    <row r="244" spans="1:10" ht="0.75" customHeight="1">
      <c r="A244" s="18"/>
      <c r="B244" s="350"/>
      <c r="C244" s="347"/>
      <c r="D244" s="348"/>
      <c r="E244" s="348"/>
      <c r="F244" s="348"/>
      <c r="G244" s="348"/>
      <c r="H244" s="348"/>
      <c r="I244" s="348"/>
      <c r="J244" s="348"/>
    </row>
    <row r="245" spans="1:10" ht="16.5" customHeight="1">
      <c r="A245" s="18"/>
      <c r="D245" s="349"/>
      <c r="E245" s="349"/>
      <c r="F245" s="349"/>
      <c r="G245" s="349"/>
      <c r="H245" s="349"/>
      <c r="I245" s="349"/>
      <c r="J245" s="349"/>
    </row>
    <row r="246" spans="1:10" ht="18" customHeight="1">
      <c r="A246" s="18"/>
      <c r="B246" s="350">
        <v>20</v>
      </c>
      <c r="C246" s="353" t="s">
        <v>217</v>
      </c>
      <c r="D246" s="381" t="s">
        <v>79</v>
      </c>
      <c r="E246" s="381"/>
      <c r="F246" s="381"/>
      <c r="G246" s="381"/>
      <c r="H246" s="381"/>
      <c r="I246" s="381"/>
      <c r="J246" s="381"/>
    </row>
    <row r="247" spans="1:10" ht="18" customHeight="1">
      <c r="A247" s="18"/>
      <c r="B247" s="350"/>
      <c r="C247" s="353"/>
      <c r="D247" s="381" t="s">
        <v>76</v>
      </c>
      <c r="E247" s="381"/>
      <c r="F247" s="381"/>
      <c r="G247" s="381"/>
      <c r="H247" s="381"/>
      <c r="I247" s="381"/>
      <c r="J247" s="381"/>
    </row>
    <row r="248" spans="1:10" ht="18" customHeight="1">
      <c r="A248" s="18"/>
      <c r="B248" s="350"/>
      <c r="C248" s="353"/>
      <c r="D248" s="381" t="s">
        <v>80</v>
      </c>
      <c r="E248" s="381"/>
      <c r="F248" s="381"/>
      <c r="G248" s="381"/>
      <c r="H248" s="381"/>
      <c r="I248" s="381"/>
      <c r="J248" s="381"/>
    </row>
    <row r="249" spans="1:10" ht="18" customHeight="1">
      <c r="A249" s="18"/>
      <c r="B249" s="350"/>
      <c r="C249" s="353"/>
      <c r="D249" s="381" t="s">
        <v>81</v>
      </c>
      <c r="E249" s="381"/>
      <c r="F249" s="381"/>
      <c r="G249" s="381"/>
      <c r="H249" s="381"/>
      <c r="I249" s="381"/>
      <c r="J249" s="381"/>
    </row>
    <row r="250" spans="1:10" ht="18" customHeight="1">
      <c r="A250" s="18"/>
      <c r="B250" s="350"/>
      <c r="C250" s="353"/>
      <c r="D250" s="381"/>
      <c r="E250" s="381"/>
      <c r="F250" s="381"/>
      <c r="G250" s="381"/>
      <c r="H250" s="381"/>
      <c r="I250" s="381"/>
      <c r="J250" s="381"/>
    </row>
    <row r="251" spans="1:10" ht="18" customHeight="1">
      <c r="A251" s="18"/>
      <c r="B251" s="350"/>
      <c r="C251" s="353"/>
      <c r="D251" s="381"/>
      <c r="E251" s="381"/>
      <c r="F251" s="381"/>
      <c r="G251" s="381"/>
      <c r="H251" s="381"/>
      <c r="I251" s="381"/>
      <c r="J251" s="381"/>
    </row>
    <row r="252" spans="1:10" ht="0.75" customHeight="1">
      <c r="A252" s="18"/>
      <c r="B252" s="350"/>
      <c r="C252" s="347"/>
      <c r="D252" s="348"/>
      <c r="E252" s="348"/>
      <c r="F252" s="348"/>
      <c r="G252" s="348"/>
      <c r="H252" s="348"/>
      <c r="I252" s="348"/>
      <c r="J252" s="348"/>
    </row>
    <row r="253" spans="1:10" ht="0.75" customHeight="1">
      <c r="A253" s="18"/>
      <c r="B253" s="350"/>
      <c r="C253" s="347"/>
      <c r="D253" s="348"/>
      <c r="E253" s="348"/>
      <c r="F253" s="348"/>
      <c r="G253" s="348"/>
      <c r="H253" s="348"/>
      <c r="I253" s="348"/>
      <c r="J253" s="348"/>
    </row>
    <row r="254" spans="1:10" ht="0.75" customHeight="1" hidden="1">
      <c r="A254" s="18"/>
      <c r="B254" s="350"/>
      <c r="C254" s="347"/>
      <c r="D254" s="348"/>
      <c r="E254" s="348"/>
      <c r="F254" s="348"/>
      <c r="G254" s="348"/>
      <c r="H254" s="348"/>
      <c r="I254" s="348"/>
      <c r="J254" s="348"/>
    </row>
    <row r="255" spans="1:10" ht="0.75" customHeight="1" hidden="1">
      <c r="A255" s="18"/>
      <c r="B255" s="350"/>
      <c r="C255" s="347"/>
      <c r="D255" s="348"/>
      <c r="E255" s="348"/>
      <c r="F255" s="348"/>
      <c r="G255" s="348"/>
      <c r="H255" s="348"/>
      <c r="I255" s="348"/>
      <c r="J255" s="348"/>
    </row>
    <row r="256" spans="1:10" ht="0.75" customHeight="1" hidden="1">
      <c r="A256" s="18"/>
      <c r="B256" s="350"/>
      <c r="C256" s="347"/>
      <c r="D256" s="381"/>
      <c r="E256" s="381"/>
      <c r="F256" s="381"/>
      <c r="G256" s="381"/>
      <c r="H256" s="381"/>
      <c r="I256" s="381"/>
      <c r="J256" s="381"/>
    </row>
    <row r="257" spans="1:10" ht="0.75" customHeight="1" hidden="1">
      <c r="A257" s="18"/>
      <c r="B257" s="350"/>
      <c r="C257" s="347"/>
      <c r="D257" s="348"/>
      <c r="E257" s="348"/>
      <c r="F257" s="348"/>
      <c r="G257" s="348"/>
      <c r="H257" s="348"/>
      <c r="I257" s="348"/>
      <c r="J257" s="348"/>
    </row>
    <row r="258" spans="1:10" ht="0.75" customHeight="1" hidden="1">
      <c r="A258" s="18"/>
      <c r="B258" s="350"/>
      <c r="C258" s="347"/>
      <c r="D258" s="348"/>
      <c r="E258" s="348"/>
      <c r="F258" s="348"/>
      <c r="G258" s="348"/>
      <c r="H258" s="348"/>
      <c r="I258" s="348"/>
      <c r="J258" s="348"/>
    </row>
    <row r="259" spans="1:10" ht="0.75" customHeight="1" hidden="1">
      <c r="A259" s="18"/>
      <c r="B259" s="350"/>
      <c r="C259" s="347"/>
      <c r="D259" s="381"/>
      <c r="E259" s="381"/>
      <c r="F259" s="381"/>
      <c r="G259" s="381"/>
      <c r="H259" s="381"/>
      <c r="I259" s="381"/>
      <c r="J259" s="381"/>
    </row>
    <row r="260" spans="1:10" ht="0.75" customHeight="1" hidden="1">
      <c r="A260" s="18"/>
      <c r="B260" s="350"/>
      <c r="C260" s="347"/>
      <c r="D260" s="348"/>
      <c r="E260" s="348"/>
      <c r="F260" s="348"/>
      <c r="G260" s="348"/>
      <c r="H260" s="348"/>
      <c r="I260" s="348"/>
      <c r="J260" s="348"/>
    </row>
    <row r="261" spans="1:10" ht="0.75" customHeight="1" hidden="1">
      <c r="A261" s="18"/>
      <c r="B261" s="350"/>
      <c r="C261" s="347"/>
      <c r="D261" s="348"/>
      <c r="E261" s="348"/>
      <c r="F261" s="348"/>
      <c r="G261" s="348"/>
      <c r="H261" s="348"/>
      <c r="I261" s="348"/>
      <c r="J261" s="348"/>
    </row>
    <row r="262" spans="1:10" ht="30" customHeight="1">
      <c r="A262" s="18"/>
      <c r="B262" s="350">
        <v>21</v>
      </c>
      <c r="C262" s="347" t="s">
        <v>169</v>
      </c>
      <c r="D262" s="381" t="s">
        <v>349</v>
      </c>
      <c r="E262" s="381"/>
      <c r="F262" s="381"/>
      <c r="G262" s="381"/>
      <c r="H262" s="381"/>
      <c r="I262" s="381"/>
      <c r="J262" s="381"/>
    </row>
    <row r="263" spans="1:10" ht="16.5" customHeight="1">
      <c r="A263" s="18"/>
      <c r="B263" s="350"/>
      <c r="C263" s="347"/>
      <c r="D263" s="381" t="s">
        <v>170</v>
      </c>
      <c r="E263" s="381"/>
      <c r="F263" s="381"/>
      <c r="G263" s="381"/>
      <c r="H263" s="381"/>
      <c r="I263" s="381"/>
      <c r="J263" s="381"/>
    </row>
    <row r="264" spans="1:10" ht="6" customHeight="1">
      <c r="A264" s="18"/>
      <c r="B264" s="350"/>
      <c r="C264" s="347"/>
      <c r="D264" s="348"/>
      <c r="E264" s="348"/>
      <c r="F264" s="348"/>
      <c r="G264" s="348"/>
      <c r="H264" s="348"/>
      <c r="I264" s="348"/>
      <c r="J264" s="348"/>
    </row>
    <row r="265" spans="1:10" ht="0.75" customHeight="1">
      <c r="A265" s="18"/>
      <c r="B265" s="350"/>
      <c r="C265" s="347"/>
      <c r="D265" s="349"/>
      <c r="E265" s="349"/>
      <c r="F265" s="349"/>
      <c r="G265" s="349"/>
      <c r="H265" s="349"/>
      <c r="I265" s="349"/>
      <c r="J265" s="349"/>
    </row>
    <row r="266" spans="1:10" ht="0.75" customHeight="1">
      <c r="A266" s="18"/>
      <c r="B266" s="350"/>
      <c r="C266" s="347"/>
      <c r="D266" s="348"/>
      <c r="E266" s="348"/>
      <c r="F266" s="348"/>
      <c r="G266" s="348"/>
      <c r="H266" s="348"/>
      <c r="I266" s="348"/>
      <c r="J266" s="348"/>
    </row>
    <row r="267" spans="1:10" ht="9.75" customHeight="1">
      <c r="A267" s="18"/>
      <c r="B267" s="350"/>
      <c r="C267" s="347"/>
      <c r="D267" s="348"/>
      <c r="E267" s="348"/>
      <c r="F267" s="348"/>
      <c r="G267" s="348"/>
      <c r="H267" s="348"/>
      <c r="I267" s="348"/>
      <c r="J267" s="348"/>
    </row>
    <row r="268" spans="1:10" ht="39" customHeight="1">
      <c r="A268" s="18"/>
      <c r="B268" s="350">
        <v>22</v>
      </c>
      <c r="C268" s="347" t="s">
        <v>59</v>
      </c>
      <c r="D268" s="381" t="s">
        <v>224</v>
      </c>
      <c r="E268" s="381"/>
      <c r="F268" s="381"/>
      <c r="G268" s="381"/>
      <c r="H268" s="381"/>
      <c r="I268" s="381"/>
      <c r="J268" s="381"/>
    </row>
    <row r="269" spans="1:10" ht="0.75" customHeight="1">
      <c r="A269" s="18"/>
      <c r="B269" s="350"/>
      <c r="C269" s="347"/>
      <c r="D269" s="348"/>
      <c r="E269" s="348"/>
      <c r="F269" s="348"/>
      <c r="G269" s="348"/>
      <c r="H269" s="348"/>
      <c r="I269" s="348"/>
      <c r="J269" s="348"/>
    </row>
    <row r="270" spans="1:10" ht="0.75" customHeight="1">
      <c r="A270" s="18"/>
      <c r="B270" s="350"/>
      <c r="C270" s="347"/>
      <c r="D270" s="348"/>
      <c r="E270" s="348"/>
      <c r="F270" s="348"/>
      <c r="G270" s="348"/>
      <c r="H270" s="348"/>
      <c r="I270" s="348"/>
      <c r="J270" s="348"/>
    </row>
    <row r="271" spans="1:10" ht="0.75" customHeight="1">
      <c r="A271" s="18"/>
      <c r="D271" s="349"/>
      <c r="E271" s="349"/>
      <c r="F271" s="349"/>
      <c r="G271" s="349"/>
      <c r="H271" s="349"/>
      <c r="I271" s="349"/>
      <c r="J271" s="349"/>
    </row>
    <row r="272" spans="1:10" ht="0.75" customHeight="1">
      <c r="A272" s="18"/>
      <c r="B272" s="350"/>
      <c r="C272" s="347"/>
      <c r="D272" s="349"/>
      <c r="E272" s="349"/>
      <c r="F272" s="349"/>
      <c r="G272" s="349"/>
      <c r="H272" s="349"/>
      <c r="I272" s="349"/>
      <c r="J272" s="349"/>
    </row>
    <row r="273" spans="1:10" ht="6" customHeight="1">
      <c r="A273" s="18"/>
      <c r="B273" s="350"/>
      <c r="C273" s="347"/>
      <c r="D273" s="348"/>
      <c r="E273" s="348"/>
      <c r="F273" s="348"/>
      <c r="G273" s="348"/>
      <c r="H273" s="348"/>
      <c r="I273" s="348"/>
      <c r="J273" s="348"/>
    </row>
    <row r="274" spans="1:10" ht="36" customHeight="1">
      <c r="A274" s="18"/>
      <c r="B274" s="350">
        <v>23</v>
      </c>
      <c r="C274" s="347" t="s">
        <v>62</v>
      </c>
      <c r="D274" s="381" t="s">
        <v>86</v>
      </c>
      <c r="E274" s="381"/>
      <c r="F274" s="381"/>
      <c r="G274" s="381"/>
      <c r="H274" s="381"/>
      <c r="I274" s="381"/>
      <c r="J274" s="381"/>
    </row>
    <row r="275" spans="1:10" ht="2.25" customHeight="1">
      <c r="A275" s="18"/>
      <c r="B275" s="350"/>
      <c r="C275" s="347"/>
      <c r="D275" s="348"/>
      <c r="E275" s="348"/>
      <c r="F275" s="348"/>
      <c r="G275" s="348"/>
      <c r="H275" s="348"/>
      <c r="I275" s="348"/>
      <c r="J275" s="348"/>
    </row>
    <row r="276" spans="1:10" ht="0.75" customHeight="1">
      <c r="A276" s="18"/>
      <c r="B276" s="350"/>
      <c r="C276" s="347"/>
      <c r="D276" s="348"/>
      <c r="E276" s="348"/>
      <c r="F276" s="348"/>
      <c r="G276" s="348"/>
      <c r="H276" s="348"/>
      <c r="I276" s="348"/>
      <c r="J276" s="348"/>
    </row>
    <row r="277" spans="1:10" ht="0.75" customHeight="1">
      <c r="A277" s="18"/>
      <c r="D277" s="349"/>
      <c r="E277" s="349"/>
      <c r="F277" s="349"/>
      <c r="G277" s="349"/>
      <c r="H277" s="349"/>
      <c r="I277" s="349"/>
      <c r="J277" s="349"/>
    </row>
    <row r="278" spans="1:10" ht="2.25" customHeight="1">
      <c r="A278" s="18"/>
      <c r="B278" s="350"/>
      <c r="C278" s="347"/>
      <c r="D278" s="382"/>
      <c r="E278" s="382"/>
      <c r="F278" s="382"/>
      <c r="G278" s="382"/>
      <c r="H278" s="382"/>
      <c r="I278" s="382"/>
      <c r="J278" s="382"/>
    </row>
    <row r="279" spans="1:10" ht="12.75">
      <c r="A279" s="18"/>
      <c r="B279" s="350">
        <v>24</v>
      </c>
      <c r="C279" s="347" t="s">
        <v>110</v>
      </c>
      <c r="D279" s="354" t="s">
        <v>397</v>
      </c>
      <c r="E279" s="354"/>
      <c r="F279" s="354"/>
      <c r="G279" s="354"/>
      <c r="H279" s="354"/>
      <c r="I279" s="354"/>
      <c r="J279" s="354"/>
    </row>
    <row r="280" spans="1:10" ht="12.75">
      <c r="A280" s="18"/>
      <c r="D280" s="354" t="s">
        <v>398</v>
      </c>
      <c r="E280" s="354"/>
      <c r="F280" s="354"/>
      <c r="G280" s="354"/>
      <c r="H280" s="354"/>
      <c r="I280" s="354"/>
      <c r="J280" s="354"/>
    </row>
    <row r="281" spans="1:10" ht="12.75">
      <c r="A281" s="18"/>
      <c r="D281" s="354" t="s">
        <v>144</v>
      </c>
      <c r="E281" s="354"/>
      <c r="F281" s="354"/>
      <c r="G281" s="354"/>
      <c r="H281" s="354"/>
      <c r="I281" s="354"/>
      <c r="J281" s="354"/>
    </row>
    <row r="282" spans="1:10" ht="0.75" customHeight="1">
      <c r="A282" s="18"/>
      <c r="D282" s="382"/>
      <c r="E282" s="382"/>
      <c r="F282" s="382"/>
      <c r="G282" s="382"/>
      <c r="H282" s="382"/>
      <c r="I282" s="382"/>
      <c r="J282" s="382"/>
    </row>
    <row r="283" spans="1:10" ht="0.75" customHeight="1">
      <c r="A283" s="18"/>
      <c r="D283" s="349"/>
      <c r="E283" s="349"/>
      <c r="F283" s="349"/>
      <c r="G283" s="349"/>
      <c r="H283" s="349"/>
      <c r="I283" s="349"/>
      <c r="J283" s="349"/>
    </row>
    <row r="284" spans="1:10" ht="0.75" customHeight="1">
      <c r="A284" s="18"/>
      <c r="D284" s="382"/>
      <c r="E284" s="382"/>
      <c r="F284" s="382"/>
      <c r="G284" s="382"/>
      <c r="H284" s="382"/>
      <c r="I284" s="382"/>
      <c r="J284" s="382"/>
    </row>
    <row r="285" spans="4:10" ht="12.75">
      <c r="D285" s="382"/>
      <c r="E285" s="382"/>
      <c r="F285" s="382"/>
      <c r="G285" s="382"/>
      <c r="H285" s="382"/>
      <c r="I285" s="382"/>
      <c r="J285" s="382"/>
    </row>
    <row r="286" spans="4:10" ht="12.75">
      <c r="D286" s="382"/>
      <c r="E286" s="382"/>
      <c r="F286" s="382"/>
      <c r="G286" s="382"/>
      <c r="H286" s="382"/>
      <c r="I286" s="382"/>
      <c r="J286" s="382"/>
    </row>
    <row r="287" spans="4:10" ht="12.75">
      <c r="D287" s="382"/>
      <c r="E287" s="382"/>
      <c r="F287" s="382"/>
      <c r="G287" s="382"/>
      <c r="H287" s="382"/>
      <c r="I287" s="382"/>
      <c r="J287" s="382"/>
    </row>
    <row r="288" spans="4:10" ht="12.75">
      <c r="D288" s="382"/>
      <c r="E288" s="382"/>
      <c r="F288" s="382"/>
      <c r="G288" s="382"/>
      <c r="H288" s="382"/>
      <c r="I288" s="382"/>
      <c r="J288" s="382"/>
    </row>
    <row r="289" spans="4:10" ht="12.75">
      <c r="D289" s="382"/>
      <c r="E289" s="382"/>
      <c r="F289" s="382"/>
      <c r="G289" s="382"/>
      <c r="H289" s="382"/>
      <c r="I289" s="382"/>
      <c r="J289" s="382"/>
    </row>
    <row r="290" spans="4:10" ht="12.75">
      <c r="D290" s="382"/>
      <c r="E290" s="382"/>
      <c r="F290" s="382"/>
      <c r="G290" s="382"/>
      <c r="H290" s="382"/>
      <c r="I290" s="382"/>
      <c r="J290" s="382"/>
    </row>
    <row r="291" spans="4:10" ht="12.75">
      <c r="D291" s="382"/>
      <c r="E291" s="382"/>
      <c r="F291" s="382"/>
      <c r="G291" s="382"/>
      <c r="H291" s="382"/>
      <c r="I291" s="382"/>
      <c r="J291" s="382"/>
    </row>
    <row r="292" spans="4:10" ht="12.75">
      <c r="D292" s="382"/>
      <c r="E292" s="382"/>
      <c r="F292" s="382"/>
      <c r="G292" s="382"/>
      <c r="H292" s="382"/>
      <c r="I292" s="382"/>
      <c r="J292" s="382"/>
    </row>
    <row r="293" spans="4:10" ht="12.75">
      <c r="D293" s="382"/>
      <c r="E293" s="382"/>
      <c r="F293" s="382"/>
      <c r="G293" s="382"/>
      <c r="H293" s="382"/>
      <c r="I293" s="382"/>
      <c r="J293" s="382"/>
    </row>
    <row r="294" spans="4:10" ht="12.75">
      <c r="D294" s="382"/>
      <c r="E294" s="382"/>
      <c r="F294" s="382"/>
      <c r="G294" s="382"/>
      <c r="H294" s="382"/>
      <c r="I294" s="382"/>
      <c r="J294" s="382"/>
    </row>
    <row r="295" spans="4:10" ht="12.75">
      <c r="D295" s="382"/>
      <c r="E295" s="382"/>
      <c r="F295" s="382"/>
      <c r="G295" s="382"/>
      <c r="H295" s="382"/>
      <c r="I295" s="382"/>
      <c r="J295" s="382"/>
    </row>
  </sheetData>
  <sheetProtection sheet="1" objects="1" scenarios="1"/>
  <mergeCells count="107">
    <mergeCell ref="B164:B165"/>
    <mergeCell ref="C105:C106"/>
    <mergeCell ref="C116:C117"/>
    <mergeCell ref="C118:C119"/>
    <mergeCell ref="C135:C136"/>
    <mergeCell ref="C164:C165"/>
    <mergeCell ref="C13:C15"/>
    <mergeCell ref="C77:C78"/>
    <mergeCell ref="C93:C94"/>
    <mergeCell ref="C95:C96"/>
    <mergeCell ref="D25:K25"/>
    <mergeCell ref="D26:K26"/>
    <mergeCell ref="B30:B33"/>
    <mergeCell ref="C30:C33"/>
    <mergeCell ref="D30:K30"/>
    <mergeCell ref="D31:K31"/>
    <mergeCell ref="D32:K32"/>
    <mergeCell ref="D33:K33"/>
    <mergeCell ref="D17:K17"/>
    <mergeCell ref="B17:B19"/>
    <mergeCell ref="C17:C19"/>
    <mergeCell ref="D18:K18"/>
    <mergeCell ref="D19:K19"/>
    <mergeCell ref="D274:J274"/>
    <mergeCell ref="D246:J246"/>
    <mergeCell ref="D259:J259"/>
    <mergeCell ref="D268:J268"/>
    <mergeCell ref="D263:J263"/>
    <mergeCell ref="D262:J262"/>
    <mergeCell ref="D55:K55"/>
    <mergeCell ref="D56:K56"/>
    <mergeCell ref="D179:K179"/>
    <mergeCell ref="D180:K180"/>
    <mergeCell ref="D135:K135"/>
    <mergeCell ref="D124:K124"/>
    <mergeCell ref="D106:K106"/>
    <mergeCell ref="D93:K93"/>
    <mergeCell ref="D94:K94"/>
    <mergeCell ref="D166:J166"/>
    <mergeCell ref="B93:B96"/>
    <mergeCell ref="C25:C26"/>
    <mergeCell ref="B69:B70"/>
    <mergeCell ref="C69:C70"/>
    <mergeCell ref="B49:B50"/>
    <mergeCell ref="C49:C50"/>
    <mergeCell ref="B25:B26"/>
    <mergeCell ref="B55:B56"/>
    <mergeCell ref="C55:C56"/>
    <mergeCell ref="C246:C251"/>
    <mergeCell ref="B231:B232"/>
    <mergeCell ref="C231:C232"/>
    <mergeCell ref="D231:K231"/>
    <mergeCell ref="D232:K232"/>
    <mergeCell ref="D249:J249"/>
    <mergeCell ref="D250:J250"/>
    <mergeCell ref="D251:J251"/>
    <mergeCell ref="B196:B199"/>
    <mergeCell ref="C196:C199"/>
    <mergeCell ref="B179:B181"/>
    <mergeCell ref="C179:C181"/>
    <mergeCell ref="D287:J287"/>
    <mergeCell ref="D288:J288"/>
    <mergeCell ref="D3:K3"/>
    <mergeCell ref="D13:K13"/>
    <mergeCell ref="D8:K8"/>
    <mergeCell ref="D69:K69"/>
    <mergeCell ref="D70:K70"/>
    <mergeCell ref="D57:K57"/>
    <mergeCell ref="D49:K49"/>
    <mergeCell ref="D50:K50"/>
    <mergeCell ref="D280:J280"/>
    <mergeCell ref="D281:J281"/>
    <mergeCell ref="D284:J284"/>
    <mergeCell ref="D282:J282"/>
    <mergeCell ref="D295:J295"/>
    <mergeCell ref="D291:J291"/>
    <mergeCell ref="D292:J292"/>
    <mergeCell ref="D293:J293"/>
    <mergeCell ref="D294:J294"/>
    <mergeCell ref="D290:J290"/>
    <mergeCell ref="B216:B217"/>
    <mergeCell ref="C216:C217"/>
    <mergeCell ref="D247:J247"/>
    <mergeCell ref="D248:J248"/>
    <mergeCell ref="D279:J279"/>
    <mergeCell ref="D289:J289"/>
    <mergeCell ref="D278:J278"/>
    <mergeCell ref="D285:J285"/>
    <mergeCell ref="D286:J286"/>
    <mergeCell ref="D86:K86"/>
    <mergeCell ref="D170:J170"/>
    <mergeCell ref="D165:J165"/>
    <mergeCell ref="D256:J256"/>
    <mergeCell ref="D181:K181"/>
    <mergeCell ref="D216:J216"/>
    <mergeCell ref="D217:J217"/>
    <mergeCell ref="D218:J218"/>
    <mergeCell ref="H2:I2"/>
    <mergeCell ref="D71:K71"/>
    <mergeCell ref="D105:K105"/>
    <mergeCell ref="D164:J164"/>
    <mergeCell ref="D95:K95"/>
    <mergeCell ref="D96:K96"/>
    <mergeCell ref="D108:K108"/>
    <mergeCell ref="D109:K109"/>
    <mergeCell ref="D113:K113"/>
    <mergeCell ref="D77:J77"/>
  </mergeCells>
  <hyperlinks>
    <hyperlink ref="D115" r:id="rId1" display="http://landwirtschaft.bwl.de/servlet/PB/menu/1035162_l1/index1215773518694.html?showOnlyChilds=true&amp;showChildsFor=1035162"/>
    <hyperlink ref="D136" r:id="rId2" display="http://www.carmen-ev.de"/>
    <hyperlink ref="H2" location="Eingabe_u_Ergebnisübersicht!A1" display="Dateneingabe"/>
    <hyperlink ref="C106" location="Berechnungen!R7:R28" display="Ertragsverlauf:"/>
  </hyperlinks>
  <printOptions/>
  <pageMargins left="0.75" right="0.75" top="0.65" bottom="0.74" header="0.32" footer="0.36"/>
  <pageSetup fitToHeight="0" fitToWidth="1" horizontalDpi="1200" verticalDpi="1200" orientation="landscape" paperSize="9" scale="94" r:id="rId7"/>
  <headerFooter alignWithMargins="0">
    <oddFooter>&amp;LLTZ / LEL&amp;C&amp;F&amp;R&amp;A</oddFooter>
  </headerFooter>
  <rowBreaks count="5" manualBreakCount="5">
    <brk id="47" min="1" max="10" man="1"/>
    <brk id="104" min="1" max="10" man="1"/>
    <brk id="134" min="1" max="10" man="1"/>
    <brk id="182" min="1" max="10" man="1"/>
    <brk id="215" min="1" max="10" man="1"/>
  </rowBreaks>
  <drawing r:id="rId6"/>
  <legacyDrawing r:id="rId5"/>
  <oleObjects>
    <oleObject progId="Word.Document.8" shapeId="367220" r:id="rId4"/>
  </oleObjects>
</worksheet>
</file>

<file path=xl/worksheets/sheet7.xml><?xml version="1.0" encoding="utf-8"?>
<worksheet xmlns="http://schemas.openxmlformats.org/spreadsheetml/2006/main" xmlns:r="http://schemas.openxmlformats.org/officeDocument/2006/relationships">
  <sheetPr codeName="Tabelle5"/>
  <dimension ref="A1:A1"/>
  <sheetViews>
    <sheetView workbookViewId="0" topLeftCell="A1">
      <selection activeCell="B30" sqref="B30"/>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Chalmin, Seidel, Steinfatt; LTZ-Augustenberg /Köhler-LEL GD; Aust-FVA-Freiburg</Manager>
  <Company>LTZ-Augustenberg und LEL Schwäb.Gmünd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KUP-Rechner</dc:title>
  <dc:subject>Ökonomik von Kurzumtriebsplantagen</dc:subject>
  <dc:creator>KriegK</dc:creator>
  <cp:keywords>Kurzumtriebsplantage, Hackschnitzel, Pappeln, Weiden,</cp:keywords>
  <dc:description>Die Anwendung ermöglicht die Berechnung und Simulation zur Fragen der Rentabilität einer Kurzumtriebsplantage, sowie die Berechnung des kostendeckenden Erlöses von Hackschnitzeln.</dc:description>
  <cp:lastModifiedBy>KriegK</cp:lastModifiedBy>
  <cp:lastPrinted>2010-12-07T10:49:01Z</cp:lastPrinted>
  <dcterms:created xsi:type="dcterms:W3CDTF">2010-07-09T09:33:32Z</dcterms:created>
  <dcterms:modified xsi:type="dcterms:W3CDTF">2010-12-07T10:57:42Z</dcterms:modified>
  <cp:category>Ökonomik pflanzliche Erzeugung</cp:category>
  <cp:version/>
  <cp:contentType/>
  <cp:contentStatus/>
</cp:coreProperties>
</file>

<file path=docProps/custom.xml><?xml version="1.0" encoding="utf-8"?>
<Properties xmlns="http://schemas.openxmlformats.org/officeDocument/2006/custom-properties" xmlns:vt="http://schemas.openxmlformats.org/officeDocument/2006/docPropsVTypes"/>
</file>